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INICIO" sheetId="1" r:id="rId1"/>
    <sheet name="VARIABLES DE ENTRADA" sheetId="2" r:id="rId2"/>
    <sheet name="PPTO DE CAPITA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<sst xmlns="http://schemas.openxmlformats.org/spreadsheetml/2006/main" count="230" uniqueCount="154">
  <si>
    <t>MODELO INTEGRAL DE EVALUACIÓN DE PROYECTOS</t>
  </si>
  <si>
    <t>COMPAÑÍA NUEVO MILENIO S.A.</t>
  </si>
  <si>
    <t>PRESUPUESTO DE CAPITAL PARA PROYECTOS DE EXPANSIÓN</t>
  </si>
  <si>
    <t>Horizonte de vida del proyecto - Años</t>
  </si>
  <si>
    <t>INFORMACIÓN DE MERCADO:</t>
  </si>
  <si>
    <t>Precio de (Venta / unidad) actual</t>
  </si>
  <si>
    <t>Ventas proyectadas</t>
  </si>
  <si>
    <t>Incremento en precio</t>
  </si>
  <si>
    <t>Incremento en unidades</t>
  </si>
  <si>
    <t>INFORMACIÓN TÉCNICA:</t>
  </si>
  <si>
    <t xml:space="preserve">Costos fijos sin depreciación </t>
  </si>
  <si>
    <t>costos variables de producción</t>
  </si>
  <si>
    <t>Gastos de admón. Y ventas</t>
  </si>
  <si>
    <t>Inversiones:</t>
  </si>
  <si>
    <t>Activos fijos:</t>
  </si>
  <si>
    <t>Terrenos</t>
  </si>
  <si>
    <t>Maquinaria y equipo</t>
  </si>
  <si>
    <t>Efectivo</t>
  </si>
  <si>
    <t xml:space="preserve"> Rotación Cuentas por cobrar - días -</t>
  </si>
  <si>
    <t>Rotación Inventarios - días -</t>
  </si>
  <si>
    <t>Activo diferido</t>
  </si>
  <si>
    <t>Capital de trabajo</t>
  </si>
  <si>
    <t>INFORMACIÓN DE FINANCIAMIENTO</t>
  </si>
  <si>
    <t>Préstamo de fomento</t>
  </si>
  <si>
    <t>Periodo de gracia</t>
  </si>
  <si>
    <t>Amortización de capital en cuotas iguales</t>
  </si>
  <si>
    <t xml:space="preserve">Plazo del préstamo: en años </t>
  </si>
  <si>
    <t>Capital propio:</t>
  </si>
  <si>
    <t>tasa de rendimiento anual</t>
  </si>
  <si>
    <t>Tasa de interés anual sobre saldos</t>
  </si>
  <si>
    <t>1. CALCULO DEL SERVICIO DE LA DEUDA</t>
  </si>
  <si>
    <t>4. CALCULO DEL COSTO DE CAPITAL PONDERADO</t>
  </si>
  <si>
    <t>AÑO</t>
  </si>
  <si>
    <t>PRÉSTAMO</t>
  </si>
  <si>
    <t>INTERESES</t>
  </si>
  <si>
    <t>AMORTIZACIÓN</t>
  </si>
  <si>
    <t>SALDO FINAL</t>
  </si>
  <si>
    <t>2. PROYECCIÓN DEL ESTADO DE GANANCIAS Y PERDIDAS</t>
  </si>
  <si>
    <t>AÑO 1</t>
  </si>
  <si>
    <t>AÑO 2</t>
  </si>
  <si>
    <t>AÑO 3</t>
  </si>
  <si>
    <t>AÑO 4</t>
  </si>
  <si>
    <t>Ventas</t>
  </si>
  <si>
    <t>Costos variables de producción</t>
  </si>
  <si>
    <t>Costos fijos sin depreciación</t>
  </si>
  <si>
    <t>Depreciación</t>
  </si>
  <si>
    <t>UTILIDAD BRUTA</t>
  </si>
  <si>
    <t>Amortización de diferidos</t>
  </si>
  <si>
    <t>UTILIDAD OPERATIVA</t>
  </si>
  <si>
    <t>Gastos financieros</t>
  </si>
  <si>
    <t>UTILIDAD ANTES DE IMPUESTOS</t>
  </si>
  <si>
    <t>UTILIDAD NETA</t>
  </si>
  <si>
    <t>Tasa de impuestos</t>
  </si>
  <si>
    <t>Provisión impuestos: 30%</t>
  </si>
  <si>
    <t>3. CALCULO DE LA INVERSIÓN INICIAL:</t>
  </si>
  <si>
    <t>Terreno</t>
  </si>
  <si>
    <t>Subtotal</t>
  </si>
  <si>
    <t>Capital de trabajo:</t>
  </si>
  <si>
    <t>Efectivo mínimo requerido</t>
  </si>
  <si>
    <t>Inventario inicial</t>
  </si>
  <si>
    <t>Número de días</t>
  </si>
  <si>
    <t>Inversión diferida:</t>
  </si>
  <si>
    <t xml:space="preserve">Gastos de organización </t>
  </si>
  <si>
    <t>TOTAL INVERSIÓN</t>
  </si>
  <si>
    <t>FUENTE</t>
  </si>
  <si>
    <t xml:space="preserve">MONTO </t>
  </si>
  <si>
    <t>C.E.A.D.I.</t>
  </si>
  <si>
    <t>C.E.A.A.I</t>
  </si>
  <si>
    <t>% P</t>
  </si>
  <si>
    <t>C.E.A.D.I.P</t>
  </si>
  <si>
    <t>Deuda</t>
  </si>
  <si>
    <t>Aporte Socios</t>
  </si>
  <si>
    <t>WACC</t>
  </si>
  <si>
    <t>ABREVIATURAS:</t>
  </si>
  <si>
    <t>C.E.A.A.I = Costo efectivo anual antes de impuestos</t>
  </si>
  <si>
    <t>C.E.A.D.I = Costo efectivo anual después de impuestos</t>
  </si>
  <si>
    <t>% P. = Porcentaje de participación de cada fuente</t>
  </si>
  <si>
    <t>C.E.A.D.I.P. =  Costo efectivo anual después de impuestos y ponderado</t>
  </si>
  <si>
    <t>5. CALCULO INVERSIÓN MARGINAL EN CAPITAL DE TRABAJO</t>
  </si>
  <si>
    <t>Cuentas por Cobrar</t>
  </si>
  <si>
    <t>Total capital de trabajo</t>
  </si>
  <si>
    <t>Variación de capital de trabajo</t>
  </si>
  <si>
    <t>AÑO 0</t>
  </si>
  <si>
    <t>Inventario: ver C.M.V.</t>
  </si>
  <si>
    <t>COSTO DE MERCANCÍA VENDIDA</t>
  </si>
  <si>
    <t>COSTO PRODUCTO VENDIDO</t>
  </si>
  <si>
    <t>6. FLUJO DE CAJA DEL PROYECTO Y RENDIMIENTO DEL PROYECTO</t>
  </si>
  <si>
    <t>U.O.D.I. = Utilidad operativa después de impuestos</t>
  </si>
  <si>
    <t>U.O.D.I.</t>
  </si>
  <si>
    <t>" + Depreciación</t>
  </si>
  <si>
    <t>" + Amortización diferidos</t>
  </si>
  <si>
    <t>" - Variación capital de trabajo</t>
  </si>
  <si>
    <t>+ Valor liquidación capital de trabajo</t>
  </si>
  <si>
    <t>FLUJO MONETARIO DEL PROYECTO</t>
  </si>
  <si>
    <t>DIAGRAMA DE FLUJO DE CAJA</t>
  </si>
  <si>
    <t>TIR</t>
  </si>
  <si>
    <t>VPN (29.53%)</t>
  </si>
  <si>
    <t>CRITERIO DE DECISIÓN</t>
  </si>
  <si>
    <t>MAYOR QUE</t>
  </si>
  <si>
    <t>SE ACEPTA POR QUE:</t>
  </si>
  <si>
    <t>7. FLUJO DE CAJA DEL INVERSIONISTA Y SU RENDIMIENTO</t>
  </si>
  <si>
    <t xml:space="preserve">+ Depreciación </t>
  </si>
  <si>
    <t xml:space="preserve"> - Amortización de deuda</t>
  </si>
  <si>
    <t xml:space="preserve"> Amortización de diferidos</t>
  </si>
  <si>
    <t>- Variación de capital de trabajo</t>
  </si>
  <si>
    <t xml:space="preserve"> + Valor de liquidación capital de T.</t>
  </si>
  <si>
    <t>TOTAL FLUJO NETO INVERSIONISTA</t>
  </si>
  <si>
    <t>TOTAL FLUJO NETO DE OPERACIÓN</t>
  </si>
  <si>
    <t>FLUJO MONETARIO DEL INVERSIONISTA</t>
  </si>
  <si>
    <t>VPN (45%)</t>
  </si>
  <si>
    <t>7. PRESUPUESTO DE EFECTIVO</t>
  </si>
  <si>
    <t>TMRR</t>
  </si>
  <si>
    <t>Por ventas</t>
  </si>
  <si>
    <t>Recaudos cartera</t>
  </si>
  <si>
    <t>Aportes</t>
  </si>
  <si>
    <t xml:space="preserve">Préstamo </t>
  </si>
  <si>
    <t>Total entradas</t>
  </si>
  <si>
    <t>SALIDAS</t>
  </si>
  <si>
    <t>ENTRADAS</t>
  </si>
  <si>
    <t>Inversión marginal inventarios</t>
  </si>
  <si>
    <t>Inversión activos fijos</t>
  </si>
  <si>
    <t>Inversión en activos diferidos</t>
  </si>
  <si>
    <t>Gastos de admón.. Y ventas</t>
  </si>
  <si>
    <t>Pago de intereses</t>
  </si>
  <si>
    <t>Amortización del préstamo</t>
  </si>
  <si>
    <t>Pago de impuestos</t>
  </si>
  <si>
    <t>Total salidas</t>
  </si>
  <si>
    <t>FLUJO NETO DE EFECTIVO</t>
  </si>
  <si>
    <t>Saldo inicial</t>
  </si>
  <si>
    <t>Saldo final de efectivo</t>
  </si>
  <si>
    <t>8. BALANCE GENERAL PROYECTADO</t>
  </si>
  <si>
    <t>ACTIVOS</t>
  </si>
  <si>
    <t>Cuentas por cobrar</t>
  </si>
  <si>
    <t>Inventario</t>
  </si>
  <si>
    <t>Total Activo Corriente</t>
  </si>
  <si>
    <t>Maquinaria y Equipo</t>
  </si>
  <si>
    <t>Depreciación acumulada</t>
  </si>
  <si>
    <t>Total Activo Fijo</t>
  </si>
  <si>
    <t>Activo Diferido</t>
  </si>
  <si>
    <t>Total Activo Diferido</t>
  </si>
  <si>
    <t>TOTAL ACTIVOS</t>
  </si>
  <si>
    <t>PASIVO Y PATRIMONIO</t>
  </si>
  <si>
    <t>Impuesto por pagar</t>
  </si>
  <si>
    <t>Préstamo bancario</t>
  </si>
  <si>
    <t>Total Pasivo</t>
  </si>
  <si>
    <t>Aporte socios</t>
  </si>
  <si>
    <t>Utilidades retenidas</t>
  </si>
  <si>
    <t>Total patrimonio</t>
  </si>
  <si>
    <t>TOTAL PASIVO Y PATRIMONIO</t>
  </si>
  <si>
    <t xml:space="preserve"> </t>
  </si>
  <si>
    <t>FERNANDO FRANCO CUARTAS</t>
  </si>
  <si>
    <t>PRESUPUESTO DE CAPITAL</t>
  </si>
  <si>
    <t>EVALUACIÓN DE PROYECTOS</t>
  </si>
  <si>
    <t>enunciado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</si>
</sst>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0000000000%"/>
    <numFmt numFmtId="168" formatCode="0.00000000000000%"/>
    <numFmt numFmtId="169" formatCode="0.0000000000000%"/>
    <numFmt numFmtId="170" formatCode="0.000000000000%"/>
    <numFmt numFmtId="171" formatCode="0.00000000000%"/>
    <numFmt numFmtId="172" formatCode="0.0000000000%"/>
    <numFmt numFmtId="173" formatCode="0.000000000%"/>
    <numFmt numFmtId="174" formatCode="0.00000000%"/>
    <numFmt numFmtId="175" formatCode="0.0000000%"/>
    <numFmt numFmtId="176" formatCode="0.000000%"/>
    <numFmt numFmtId="177" formatCode="0.00000%"/>
    <numFmt numFmtId="178" formatCode="0.0000%"/>
    <numFmt numFmtId="179" formatCode="0.000%"/>
    <numFmt numFmtId="180" formatCode="_(* #,##0.000_);_(* \(#,##0.000\);_(* &quot;-&quot;??_);_(@_)"/>
  </numFmts>
  <fonts count="1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43" fontId="1" fillId="2" borderId="0" xfId="17" applyNumberFormat="1" applyFont="1" applyFill="1" applyAlignment="1">
      <alignment/>
    </xf>
    <xf numFmtId="43" fontId="1" fillId="2" borderId="0" xfId="0" applyNumberFormat="1" applyFont="1" applyFill="1" applyAlignment="1">
      <alignment/>
    </xf>
    <xf numFmtId="9" fontId="1" fillId="2" borderId="0" xfId="21" applyFont="1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43" fontId="0" fillId="2" borderId="2" xfId="0" applyNumberFormat="1" applyFill="1" applyBorder="1" applyAlignment="1">
      <alignment horizontal="center"/>
    </xf>
    <xf numFmtId="43" fontId="0" fillId="2" borderId="2" xfId="0" applyNumberFormat="1" applyFill="1" applyBorder="1" applyAlignment="1">
      <alignment/>
    </xf>
    <xf numFmtId="43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 horizontal="center"/>
    </xf>
    <xf numFmtId="43" fontId="0" fillId="2" borderId="0" xfId="17" applyFill="1" applyAlignment="1">
      <alignment/>
    </xf>
    <xf numFmtId="43" fontId="0" fillId="2" borderId="0" xfId="0" applyNumberFormat="1" applyFill="1" applyAlignment="1">
      <alignment/>
    </xf>
    <xf numFmtId="43" fontId="0" fillId="2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43" fontId="3" fillId="2" borderId="4" xfId="0" applyNumberFormat="1" applyFont="1" applyFill="1" applyBorder="1" applyAlignment="1">
      <alignment/>
    </xf>
    <xf numFmtId="43" fontId="3" fillId="2" borderId="5" xfId="0" applyNumberFormat="1" applyFont="1" applyFill="1" applyBorder="1" applyAlignment="1">
      <alignment/>
    </xf>
    <xf numFmtId="43" fontId="3" fillId="2" borderId="6" xfId="0" applyNumberFormat="1" applyFont="1" applyFill="1" applyBorder="1" applyAlignment="1">
      <alignment/>
    </xf>
    <xf numFmtId="43" fontId="3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43" fontId="0" fillId="2" borderId="7" xfId="0" applyNumberFormat="1" applyFill="1" applyBorder="1" applyAlignment="1">
      <alignment/>
    </xf>
    <xf numFmtId="43" fontId="3" fillId="2" borderId="1" xfId="0" applyNumberFormat="1" applyFont="1" applyFill="1" applyBorder="1" applyAlignment="1">
      <alignment/>
    </xf>
    <xf numFmtId="43" fontId="0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5" xfId="0" applyFill="1" applyBorder="1" applyAlignment="1">
      <alignment/>
    </xf>
    <xf numFmtId="9" fontId="0" fillId="2" borderId="2" xfId="0" applyNumberFormat="1" applyFill="1" applyBorder="1" applyAlignment="1">
      <alignment horizontal="center"/>
    </xf>
    <xf numFmtId="10" fontId="0" fillId="2" borderId="2" xfId="21" applyNumberForma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0" fontId="3" fillId="2" borderId="1" xfId="0" applyNumberFormat="1" applyFont="1" applyFill="1" applyBorder="1" applyAlignment="1">
      <alignment horizontal="center"/>
    </xf>
    <xf numFmtId="43" fontId="0" fillId="2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43" fontId="3" fillId="2" borderId="0" xfId="0" applyNumberFormat="1" applyFont="1" applyFill="1" applyBorder="1" applyAlignment="1">
      <alignment/>
    </xf>
    <xf numFmtId="0" fontId="0" fillId="2" borderId="0" xfId="0" applyFill="1" applyAlignment="1" quotePrefix="1">
      <alignment/>
    </xf>
    <xf numFmtId="43" fontId="3" fillId="2" borderId="3" xfId="17" applyNumberFormat="1" applyFont="1" applyFill="1" applyBorder="1" applyAlignment="1">
      <alignment horizontal="center"/>
    </xf>
    <xf numFmtId="43" fontId="3" fillId="2" borderId="0" xfId="17" applyNumberFormat="1" applyFont="1" applyFill="1" applyBorder="1" applyAlignment="1">
      <alignment horizontal="center"/>
    </xf>
    <xf numFmtId="10" fontId="3" fillId="2" borderId="0" xfId="0" applyNumberFormat="1" applyFont="1" applyFill="1" applyAlignment="1">
      <alignment/>
    </xf>
    <xf numFmtId="8" fontId="3" fillId="2" borderId="0" xfId="0" applyNumberFormat="1" applyFont="1" applyFill="1" applyAlignment="1">
      <alignment/>
    </xf>
    <xf numFmtId="0" fontId="0" fillId="2" borderId="8" xfId="0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43" fontId="3" fillId="2" borderId="3" xfId="17" applyNumberFormat="1" applyFont="1" applyFill="1" applyBorder="1" applyAlignment="1">
      <alignment/>
    </xf>
    <xf numFmtId="43" fontId="0" fillId="2" borderId="3" xfId="17" applyNumberFormat="1" applyFont="1" applyFill="1" applyBorder="1" applyAlignment="1">
      <alignment/>
    </xf>
    <xf numFmtId="43" fontId="0" fillId="2" borderId="3" xfId="17" applyNumberFormat="1" applyFont="1" applyFill="1" applyBorder="1" applyAlignment="1">
      <alignment horizontal="center"/>
    </xf>
    <xf numFmtId="43" fontId="0" fillId="2" borderId="9" xfId="17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43" fontId="0" fillId="2" borderId="5" xfId="0" applyNumberFormat="1" applyFont="1" applyFill="1" applyBorder="1" applyAlignment="1">
      <alignment/>
    </xf>
    <xf numFmtId="43" fontId="0" fillId="2" borderId="6" xfId="0" applyNumberFormat="1" applyFont="1" applyFill="1" applyBorder="1" applyAlignment="1">
      <alignment/>
    </xf>
    <xf numFmtId="43" fontId="0" fillId="2" borderId="4" xfId="0" applyNumberFormat="1" applyFill="1" applyBorder="1" applyAlignment="1">
      <alignment/>
    </xf>
    <xf numFmtId="43" fontId="0" fillId="2" borderId="5" xfId="0" applyNumberFormat="1" applyFill="1" applyBorder="1" applyAlignment="1">
      <alignment/>
    </xf>
    <xf numFmtId="43" fontId="0" fillId="2" borderId="6" xfId="0" applyNumberFormat="1" applyFill="1" applyBorder="1" applyAlignment="1">
      <alignment/>
    </xf>
    <xf numFmtId="0" fontId="5" fillId="2" borderId="0" xfId="0" applyFont="1" applyFill="1" applyAlignment="1">
      <alignment horizontal="center"/>
    </xf>
    <xf numFmtId="0" fontId="3" fillId="2" borderId="4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15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0" fillId="2" borderId="0" xfId="15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%20gaceta@gacetafinanciera.com#DURACION!A1" TargetMode="External" /><Relationship Id="rId3" Type="http://schemas.openxmlformats.org/officeDocument/2006/relationships/hyperlink" Target="#'VARIABLES DE ENTRAD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PPTO DE CAPITAL'!A1" /><Relationship Id="rId3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ICIO!A1" /><Relationship Id="rId3" Type="http://schemas.openxmlformats.org/officeDocument/2006/relationships/hyperlink" Target="#'VARIABLES DE ENTRADA'!A1" /><Relationship Id="rId4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190500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15</xdr:row>
      <xdr:rowOff>76200</xdr:rowOff>
    </xdr:from>
    <xdr:to>
      <xdr:col>7</xdr:col>
      <xdr:colOff>123825</xdr:colOff>
      <xdr:row>17</xdr:row>
      <xdr:rowOff>95250</xdr:rowOff>
    </xdr:to>
    <xdr:sp macro="[1]!Inicio">
      <xdr:nvSpPr>
        <xdr:cNvPr id="2" name="Rectangle 2">
          <a:hlinkClick r:id="rId2"/>
        </xdr:cNvPr>
        <xdr:cNvSpPr>
          <a:spLocks/>
        </xdr:cNvSpPr>
      </xdr:nvSpPr>
      <xdr:spPr>
        <a:xfrm>
          <a:off x="2524125" y="26955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133350</xdr:colOff>
      <xdr:row>8</xdr:row>
      <xdr:rowOff>76200</xdr:rowOff>
    </xdr:from>
    <xdr:to>
      <xdr:col>7</xdr:col>
      <xdr:colOff>123825</xdr:colOff>
      <xdr:row>10</xdr:row>
      <xdr:rowOff>95250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2524125" y="146685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</xdr:row>
      <xdr:rowOff>38100</xdr:rowOff>
    </xdr:from>
    <xdr:to>
      <xdr:col>7</xdr:col>
      <xdr:colOff>19050</xdr:colOff>
      <xdr:row>9</xdr:row>
      <xdr:rowOff>57150</xdr:rowOff>
    </xdr:to>
    <xdr:sp macro="[1]!Inicio">
      <xdr:nvSpPr>
        <xdr:cNvPr id="2" name="Rectangle 2">
          <a:hlinkClick r:id="rId2"/>
        </xdr:cNvPr>
        <xdr:cNvSpPr>
          <a:spLocks/>
        </xdr:cNvSpPr>
      </xdr:nvSpPr>
      <xdr:spPr>
        <a:xfrm>
          <a:off x="5400675" y="130492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0</xdr:col>
      <xdr:colOff>2076450</xdr:colOff>
      <xdr:row>7</xdr:row>
      <xdr:rowOff>28575</xdr:rowOff>
    </xdr:from>
    <xdr:to>
      <xdr:col>2</xdr:col>
      <xdr:colOff>723900</xdr:colOff>
      <xdr:row>9</xdr:row>
      <xdr:rowOff>47625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2076450" y="1295400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144</xdr:row>
      <xdr:rowOff>152400</xdr:rowOff>
    </xdr:from>
    <xdr:to>
      <xdr:col>3</xdr:col>
      <xdr:colOff>590550</xdr:colOff>
      <xdr:row>144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57225" y="23964900"/>
          <a:ext cx="394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142</xdr:row>
      <xdr:rowOff>133350</xdr:rowOff>
    </xdr:from>
    <xdr:to>
      <xdr:col>0</xdr:col>
      <xdr:colOff>1543050</xdr:colOff>
      <xdr:row>145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43050" y="23622000"/>
          <a:ext cx="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142</xdr:row>
      <xdr:rowOff>38100</xdr:rowOff>
    </xdr:from>
    <xdr:to>
      <xdr:col>1</xdr:col>
      <xdr:colOff>314325</xdr:colOff>
      <xdr:row>144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2543175" y="23526750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141</xdr:row>
      <xdr:rowOff>47625</xdr:rowOff>
    </xdr:from>
    <xdr:to>
      <xdr:col>2</xdr:col>
      <xdr:colOff>419100</xdr:colOff>
      <xdr:row>144</xdr:row>
      <xdr:rowOff>142875</xdr:rowOff>
    </xdr:to>
    <xdr:sp>
      <xdr:nvSpPr>
        <xdr:cNvPr id="4" name="Line 6"/>
        <xdr:cNvSpPr>
          <a:spLocks/>
        </xdr:cNvSpPr>
      </xdr:nvSpPr>
      <xdr:spPr>
        <a:xfrm flipV="1">
          <a:off x="3552825" y="23374350"/>
          <a:ext cx="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139</xdr:row>
      <xdr:rowOff>104775</xdr:rowOff>
    </xdr:from>
    <xdr:to>
      <xdr:col>3</xdr:col>
      <xdr:colOff>590550</xdr:colOff>
      <xdr:row>145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4600575" y="23107650"/>
          <a:ext cx="0" cy="866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144</xdr:row>
      <xdr:rowOff>152400</xdr:rowOff>
    </xdr:from>
    <xdr:to>
      <xdr:col>0</xdr:col>
      <xdr:colOff>638175</xdr:colOff>
      <xdr:row>148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638175" y="23964900"/>
          <a:ext cx="0" cy="647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149</xdr:row>
      <xdr:rowOff>76200</xdr:rowOff>
    </xdr:from>
    <xdr:to>
      <xdr:col>0</xdr:col>
      <xdr:colOff>981075</xdr:colOff>
      <xdr:row>150</xdr:row>
      <xdr:rowOff>76200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390525" y="24698325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123125</a:t>
          </a:r>
        </a:p>
      </xdr:txBody>
    </xdr:sp>
    <xdr:clientData/>
  </xdr:twoCellAnchor>
  <xdr:twoCellAnchor>
    <xdr:from>
      <xdr:col>0</xdr:col>
      <xdr:colOff>1238250</xdr:colOff>
      <xdr:row>141</xdr:row>
      <xdr:rowOff>66675</xdr:rowOff>
    </xdr:from>
    <xdr:to>
      <xdr:col>0</xdr:col>
      <xdr:colOff>1800225</xdr:colOff>
      <xdr:row>142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238250" y="23393400"/>
          <a:ext cx="561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15479</a:t>
          </a:r>
        </a:p>
      </xdr:txBody>
    </xdr:sp>
    <xdr:clientData/>
  </xdr:twoCellAnchor>
  <xdr:twoCellAnchor>
    <xdr:from>
      <xdr:col>1</xdr:col>
      <xdr:colOff>47625</xdr:colOff>
      <xdr:row>141</xdr:row>
      <xdr:rowOff>0</xdr:rowOff>
    </xdr:from>
    <xdr:to>
      <xdr:col>1</xdr:col>
      <xdr:colOff>581025</xdr:colOff>
      <xdr:row>142</xdr:row>
      <xdr:rowOff>9525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276475" y="23326725"/>
          <a:ext cx="533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58280</a:t>
          </a:r>
        </a:p>
      </xdr:txBody>
    </xdr:sp>
    <xdr:clientData/>
  </xdr:twoCellAnchor>
  <xdr:twoCellAnchor>
    <xdr:from>
      <xdr:col>2</xdr:col>
      <xdr:colOff>152400</xdr:colOff>
      <xdr:row>140</xdr:row>
      <xdr:rowOff>0</xdr:rowOff>
    </xdr:from>
    <xdr:to>
      <xdr:col>2</xdr:col>
      <xdr:colOff>666750</xdr:colOff>
      <xdr:row>141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3286125" y="23164800"/>
          <a:ext cx="514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84167</a:t>
          </a:r>
        </a:p>
      </xdr:txBody>
    </xdr:sp>
    <xdr:clientData/>
  </xdr:twoCellAnchor>
  <xdr:twoCellAnchor>
    <xdr:from>
      <xdr:col>3</xdr:col>
      <xdr:colOff>247650</xdr:colOff>
      <xdr:row>138</xdr:row>
      <xdr:rowOff>57150</xdr:rowOff>
    </xdr:from>
    <xdr:to>
      <xdr:col>3</xdr:col>
      <xdr:colOff>857250</xdr:colOff>
      <xdr:row>139</xdr:row>
      <xdr:rowOff>76200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4257675" y="2289810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323705</a:t>
          </a:r>
        </a:p>
      </xdr:txBody>
    </xdr:sp>
    <xdr:clientData/>
  </xdr:twoCellAnchor>
  <xdr:twoCellAnchor>
    <xdr:from>
      <xdr:col>0</xdr:col>
      <xdr:colOff>657225</xdr:colOff>
      <xdr:row>206</xdr:row>
      <xdr:rowOff>152400</xdr:rowOff>
    </xdr:from>
    <xdr:to>
      <xdr:col>3</xdr:col>
      <xdr:colOff>590550</xdr:colOff>
      <xdr:row>206</xdr:row>
      <xdr:rowOff>152400</xdr:rowOff>
    </xdr:to>
    <xdr:sp>
      <xdr:nvSpPr>
        <xdr:cNvPr id="12" name="Line 16"/>
        <xdr:cNvSpPr>
          <a:spLocks/>
        </xdr:cNvSpPr>
      </xdr:nvSpPr>
      <xdr:spPr>
        <a:xfrm>
          <a:off x="657225" y="34147125"/>
          <a:ext cx="394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204</xdr:row>
      <xdr:rowOff>133350</xdr:rowOff>
    </xdr:from>
    <xdr:to>
      <xdr:col>0</xdr:col>
      <xdr:colOff>1543050</xdr:colOff>
      <xdr:row>207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1543050" y="33804225"/>
          <a:ext cx="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204</xdr:row>
      <xdr:rowOff>38100</xdr:rowOff>
    </xdr:from>
    <xdr:to>
      <xdr:col>1</xdr:col>
      <xdr:colOff>314325</xdr:colOff>
      <xdr:row>206</xdr:row>
      <xdr:rowOff>152400</xdr:rowOff>
    </xdr:to>
    <xdr:sp>
      <xdr:nvSpPr>
        <xdr:cNvPr id="14" name="Line 18"/>
        <xdr:cNvSpPr>
          <a:spLocks/>
        </xdr:cNvSpPr>
      </xdr:nvSpPr>
      <xdr:spPr>
        <a:xfrm flipV="1">
          <a:off x="2543175" y="3370897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203</xdr:row>
      <xdr:rowOff>47625</xdr:rowOff>
    </xdr:from>
    <xdr:to>
      <xdr:col>2</xdr:col>
      <xdr:colOff>419100</xdr:colOff>
      <xdr:row>206</xdr:row>
      <xdr:rowOff>142875</xdr:rowOff>
    </xdr:to>
    <xdr:sp>
      <xdr:nvSpPr>
        <xdr:cNvPr id="15" name="Line 19"/>
        <xdr:cNvSpPr>
          <a:spLocks/>
        </xdr:cNvSpPr>
      </xdr:nvSpPr>
      <xdr:spPr>
        <a:xfrm flipV="1">
          <a:off x="3552825" y="33556575"/>
          <a:ext cx="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201</xdr:row>
      <xdr:rowOff>104775</xdr:rowOff>
    </xdr:from>
    <xdr:to>
      <xdr:col>3</xdr:col>
      <xdr:colOff>590550</xdr:colOff>
      <xdr:row>207</xdr:row>
      <xdr:rowOff>0</xdr:rowOff>
    </xdr:to>
    <xdr:sp>
      <xdr:nvSpPr>
        <xdr:cNvPr id="16" name="Line 20"/>
        <xdr:cNvSpPr>
          <a:spLocks/>
        </xdr:cNvSpPr>
      </xdr:nvSpPr>
      <xdr:spPr>
        <a:xfrm flipV="1">
          <a:off x="4600575" y="33289875"/>
          <a:ext cx="0" cy="866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206</xdr:row>
      <xdr:rowOff>152400</xdr:rowOff>
    </xdr:from>
    <xdr:to>
      <xdr:col>0</xdr:col>
      <xdr:colOff>638175</xdr:colOff>
      <xdr:row>210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638175" y="34147125"/>
          <a:ext cx="0" cy="647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211</xdr:row>
      <xdr:rowOff>76200</xdr:rowOff>
    </xdr:from>
    <xdr:to>
      <xdr:col>0</xdr:col>
      <xdr:colOff>981075</xdr:colOff>
      <xdr:row>212</xdr:row>
      <xdr:rowOff>76200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390525" y="34880550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123125</a:t>
          </a:r>
        </a:p>
      </xdr:txBody>
    </xdr:sp>
    <xdr:clientData/>
  </xdr:twoCellAnchor>
  <xdr:twoCellAnchor>
    <xdr:from>
      <xdr:col>0</xdr:col>
      <xdr:colOff>1238250</xdr:colOff>
      <xdr:row>203</xdr:row>
      <xdr:rowOff>66675</xdr:rowOff>
    </xdr:from>
    <xdr:to>
      <xdr:col>0</xdr:col>
      <xdr:colOff>1695450</xdr:colOff>
      <xdr:row>204</xdr:row>
      <xdr:rowOff>66675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1238250" y="33575625"/>
          <a:ext cx="457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779</a:t>
          </a:r>
        </a:p>
      </xdr:txBody>
    </xdr:sp>
    <xdr:clientData/>
  </xdr:twoCellAnchor>
  <xdr:twoCellAnchor>
    <xdr:from>
      <xdr:col>1</xdr:col>
      <xdr:colOff>47625</xdr:colOff>
      <xdr:row>202</xdr:row>
      <xdr:rowOff>133350</xdr:rowOff>
    </xdr:from>
    <xdr:to>
      <xdr:col>1</xdr:col>
      <xdr:colOff>438150</xdr:colOff>
      <xdr:row>203</xdr:row>
      <xdr:rowOff>133350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2276475" y="33480375"/>
          <a:ext cx="390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18580</a:t>
          </a:r>
        </a:p>
      </xdr:txBody>
    </xdr:sp>
    <xdr:clientData/>
  </xdr:twoCellAnchor>
  <xdr:twoCellAnchor>
    <xdr:from>
      <xdr:col>2</xdr:col>
      <xdr:colOff>152400</xdr:colOff>
      <xdr:row>202</xdr:row>
      <xdr:rowOff>0</xdr:rowOff>
    </xdr:from>
    <xdr:to>
      <xdr:col>2</xdr:col>
      <xdr:colOff>523875</xdr:colOff>
      <xdr:row>203</xdr:row>
      <xdr:rowOff>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3286125" y="33347025"/>
          <a:ext cx="371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49368</a:t>
          </a:r>
        </a:p>
      </xdr:txBody>
    </xdr:sp>
    <xdr:clientData/>
  </xdr:twoCellAnchor>
  <xdr:twoCellAnchor>
    <xdr:from>
      <xdr:col>3</xdr:col>
      <xdr:colOff>342900</xdr:colOff>
      <xdr:row>200</xdr:row>
      <xdr:rowOff>28575</xdr:rowOff>
    </xdr:from>
    <xdr:to>
      <xdr:col>3</xdr:col>
      <xdr:colOff>742950</xdr:colOff>
      <xdr:row>201</xdr:row>
      <xdr:rowOff>19050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4352925" y="33051750"/>
          <a:ext cx="400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293805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6</xdr:row>
      <xdr:rowOff>133350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7</xdr:row>
      <xdr:rowOff>66675</xdr:rowOff>
    </xdr:from>
    <xdr:to>
      <xdr:col>5</xdr:col>
      <xdr:colOff>809625</xdr:colOff>
      <xdr:row>9</xdr:row>
      <xdr:rowOff>85725</xdr:rowOff>
    </xdr:to>
    <xdr:sp macro="[1]!Inicio">
      <xdr:nvSpPr>
        <xdr:cNvPr id="24" name="Rectangle 28">
          <a:hlinkClick r:id="rId2"/>
        </xdr:cNvPr>
        <xdr:cNvSpPr>
          <a:spLocks/>
        </xdr:cNvSpPr>
      </xdr:nvSpPr>
      <xdr:spPr>
        <a:xfrm>
          <a:off x="5153025" y="1333500"/>
          <a:ext cx="17049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0</xdr:col>
      <xdr:colOff>895350</xdr:colOff>
      <xdr:row>7</xdr:row>
      <xdr:rowOff>76200</xdr:rowOff>
    </xdr:from>
    <xdr:to>
      <xdr:col>1</xdr:col>
      <xdr:colOff>447675</xdr:colOff>
      <xdr:row>9</xdr:row>
      <xdr:rowOff>95250</xdr:rowOff>
    </xdr:to>
    <xdr:sp macro="[1]!Inicio">
      <xdr:nvSpPr>
        <xdr:cNvPr id="25" name="Rectangle 29">
          <a:hlinkClick r:id="rId3"/>
        </xdr:cNvPr>
        <xdr:cNvSpPr>
          <a:spLocks/>
        </xdr:cNvSpPr>
      </xdr:nvSpPr>
      <xdr:spPr>
        <a:xfrm>
          <a:off x="895350" y="1343025"/>
          <a:ext cx="17811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1</xdr:col>
      <xdr:colOff>876300</xdr:colOff>
      <xdr:row>7</xdr:row>
      <xdr:rowOff>66675</xdr:rowOff>
    </xdr:from>
    <xdr:to>
      <xdr:col>3</xdr:col>
      <xdr:colOff>800100</xdr:colOff>
      <xdr:row>9</xdr:row>
      <xdr:rowOff>85725</xdr:rowOff>
    </xdr:to>
    <xdr:sp macro="[1]!Inicio">
      <xdr:nvSpPr>
        <xdr:cNvPr id="26" name="Rectangle 30">
          <a:hlinkClick r:id="rId4"/>
        </xdr:cNvPr>
        <xdr:cNvSpPr>
          <a:spLocks/>
        </xdr:cNvSpPr>
      </xdr:nvSpPr>
      <xdr:spPr>
        <a:xfrm>
          <a:off x="3105150" y="1333500"/>
          <a:ext cx="17049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Inicio"/>
      <sheetName val="Menu del sistema"/>
      <sheetName val="Menu direccional"/>
      <sheetName val="Impresión"/>
      <sheetName val="Estado situación financiera"/>
      <sheetName val="Hoja1"/>
      <sheetName val="Hoja2"/>
      <sheetName val="Hoja3 (2)"/>
      <sheetName val="Hoja4"/>
    </sheetNames>
    <definedNames>
      <definedName name="Inic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OJAVIDA.htm" TargetMode="External" /><Relationship Id="rId2" Type="http://schemas.openxmlformats.org/officeDocument/2006/relationships/hyperlink" Target="CONSTRUCCI&#211;N%20DE%20FLUJOS%20DE%20CAJA.doc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4"/>
  <sheetViews>
    <sheetView tabSelected="1" workbookViewId="0" topLeftCell="A1">
      <selection activeCell="H3" sqref="H3"/>
    </sheetView>
  </sheetViews>
  <sheetFormatPr defaultColWidth="11.421875" defaultRowHeight="12.75"/>
  <cols>
    <col min="1" max="1" width="11.421875" style="8" customWidth="1"/>
    <col min="2" max="2" width="7.00390625" style="8" customWidth="1"/>
    <col min="3" max="3" width="3.140625" style="8" customWidth="1"/>
    <col min="4" max="4" width="2.8515625" style="8" customWidth="1"/>
    <col min="5" max="8" width="11.421875" style="8" customWidth="1"/>
    <col min="9" max="9" width="6.7109375" style="8" customWidth="1"/>
    <col min="10" max="10" width="5.8515625" style="8" customWidth="1"/>
    <col min="11" max="16384" width="11.421875" style="8" customWidth="1"/>
  </cols>
  <sheetData>
    <row r="3" ht="12.75">
      <c r="G3" s="70" t="s">
        <v>153</v>
      </c>
    </row>
    <row r="4" ht="12.75"/>
    <row r="5" spans="3:10" ht="20.25">
      <c r="C5" s="66" t="s">
        <v>151</v>
      </c>
      <c r="D5" s="66"/>
      <c r="E5" s="66"/>
      <c r="F5" s="66"/>
      <c r="G5" s="66"/>
      <c r="H5" s="66"/>
      <c r="I5" s="66"/>
      <c r="J5" s="66"/>
    </row>
    <row r="6" ht="12.75"/>
    <row r="7" ht="12.75"/>
    <row r="8" ht="12.75">
      <c r="D8" s="8" t="s">
        <v>149</v>
      </c>
    </row>
    <row r="9" ht="12.75"/>
    <row r="14" spans="3:10" ht="20.25">
      <c r="C14" s="67" t="s">
        <v>150</v>
      </c>
      <c r="D14" s="67"/>
      <c r="E14" s="67"/>
      <c r="F14" s="67"/>
      <c r="G14" s="67"/>
      <c r="H14" s="67"/>
      <c r="I14" s="67"/>
      <c r="J14" s="67"/>
    </row>
  </sheetData>
  <mergeCells count="2">
    <mergeCell ref="C5:J5"/>
    <mergeCell ref="C14:J14"/>
  </mergeCells>
  <hyperlinks>
    <hyperlink ref="C14:J14" r:id="rId1" display="HOJAVIDA.htm"/>
    <hyperlink ref="G3" r:id="rId2" display="CONSTRUCCIÓN DE FLUJOS DE CAJA.doc"/>
  </hyperlinks>
  <printOptions/>
  <pageMargins left="0.75" right="0.75" top="1" bottom="1" header="0" footer="0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49">
      <selection activeCell="F16" sqref="F16"/>
    </sheetView>
  </sheetViews>
  <sheetFormatPr defaultColWidth="11.421875" defaultRowHeight="12.75"/>
  <cols>
    <col min="1" max="1" width="34.8515625" style="2" customWidth="1"/>
    <col min="2" max="16384" width="11.421875" style="2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2" ht="12.75">
      <c r="A3" s="8"/>
      <c r="B3" s="8"/>
    </row>
    <row r="4" spans="1:6" ht="23.25">
      <c r="A4" s="8"/>
      <c r="B4" s="69" t="s">
        <v>152</v>
      </c>
      <c r="C4" s="69"/>
      <c r="D4" s="69"/>
      <c r="E4" s="69"/>
      <c r="F4" s="69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 t="s">
        <v>149</v>
      </c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3" spans="1:6" ht="12.75">
      <c r="A13" s="68" t="s">
        <v>0</v>
      </c>
      <c r="B13" s="68"/>
      <c r="C13" s="68"/>
      <c r="D13" s="68"/>
      <c r="E13" s="68"/>
      <c r="F13" s="68"/>
    </row>
    <row r="14" spans="1:6" ht="12.75">
      <c r="A14" s="65"/>
      <c r="B14" s="65"/>
      <c r="C14" s="65"/>
      <c r="D14" s="65"/>
      <c r="E14" s="65"/>
      <c r="F14" s="65"/>
    </row>
    <row r="15" spans="1:7" ht="12.75">
      <c r="A15" s="68" t="s">
        <v>2</v>
      </c>
      <c r="B15" s="68"/>
      <c r="C15" s="68"/>
      <c r="D15" s="68"/>
      <c r="E15" s="68"/>
      <c r="F15" s="68"/>
      <c r="G15" s="68"/>
    </row>
    <row r="17" ht="12.75">
      <c r="A17" s="2" t="s">
        <v>1</v>
      </c>
    </row>
    <row r="19" spans="1:2" ht="12.75">
      <c r="A19" s="2" t="s">
        <v>3</v>
      </c>
      <c r="B19" s="2">
        <v>4</v>
      </c>
    </row>
    <row r="21" ht="12.75">
      <c r="A21" s="1" t="s">
        <v>4</v>
      </c>
    </row>
    <row r="23" spans="1:6" ht="12.75">
      <c r="A23" s="2" t="s">
        <v>5</v>
      </c>
      <c r="B23" s="3">
        <v>16</v>
      </c>
      <c r="C23" s="4">
        <f>(1+$B$24)*B23</f>
        <v>20</v>
      </c>
      <c r="D23" s="4">
        <f>(1+$B$24)*C23</f>
        <v>25</v>
      </c>
      <c r="E23" s="4">
        <f>(1+$B$24)*D23</f>
        <v>31.25</v>
      </c>
      <c r="F23" s="4">
        <f>(1+$B$24)*E23</f>
        <v>39.0625</v>
      </c>
    </row>
    <row r="24" spans="1:2" ht="12.75">
      <c r="A24" s="2" t="s">
        <v>7</v>
      </c>
      <c r="B24" s="5">
        <v>0.25</v>
      </c>
    </row>
    <row r="25" spans="1:5" ht="12.75">
      <c r="A25" s="2" t="s">
        <v>6</v>
      </c>
      <c r="B25" s="3">
        <v>20000</v>
      </c>
      <c r="C25" s="4">
        <f>(1+$B$26)*B25</f>
        <v>21600</v>
      </c>
      <c r="D25" s="4">
        <f>(1+$B$26)*C25</f>
        <v>23328</v>
      </c>
      <c r="E25" s="4">
        <f>(1+$B$26)*D25</f>
        <v>25194.24</v>
      </c>
    </row>
    <row r="26" spans="1:2" ht="12.75">
      <c r="A26" s="2" t="s">
        <v>8</v>
      </c>
      <c r="B26" s="5">
        <v>0.08</v>
      </c>
    </row>
    <row r="28" ht="12.75">
      <c r="A28" s="1" t="s">
        <v>9</v>
      </c>
    </row>
    <row r="30" spans="1:2" ht="12.75">
      <c r="A30" s="2" t="s">
        <v>10</v>
      </c>
      <c r="B30" s="3">
        <v>50000</v>
      </c>
    </row>
    <row r="31" spans="1:2" ht="12.75">
      <c r="A31" s="2" t="s">
        <v>11</v>
      </c>
      <c r="B31" s="5">
        <v>0.6</v>
      </c>
    </row>
    <row r="32" spans="1:2" ht="12.75">
      <c r="A32" s="2" t="s">
        <v>12</v>
      </c>
      <c r="B32" s="3">
        <v>30000</v>
      </c>
    </row>
    <row r="34" ht="12.75">
      <c r="A34" s="1" t="s">
        <v>13</v>
      </c>
    </row>
    <row r="36" ht="12.75">
      <c r="A36" s="2" t="s">
        <v>14</v>
      </c>
    </row>
    <row r="37" spans="1:2" ht="12.75">
      <c r="A37" s="2" t="s">
        <v>15</v>
      </c>
      <c r="B37" s="3">
        <v>16000</v>
      </c>
    </row>
    <row r="38" spans="1:2" ht="12.75">
      <c r="A38" s="2" t="s">
        <v>16</v>
      </c>
      <c r="B38" s="3">
        <v>60000</v>
      </c>
    </row>
    <row r="40" ht="12.75">
      <c r="A40" s="1" t="s">
        <v>21</v>
      </c>
    </row>
    <row r="41" spans="1:2" ht="12.75">
      <c r="A41" s="2" t="s">
        <v>17</v>
      </c>
      <c r="B41" s="3">
        <v>4000</v>
      </c>
    </row>
    <row r="42" spans="1:2" ht="12.75">
      <c r="A42" s="2" t="s">
        <v>18</v>
      </c>
      <c r="B42" s="2">
        <v>30</v>
      </c>
    </row>
    <row r="43" spans="1:2" ht="12.75">
      <c r="A43" s="2" t="s">
        <v>19</v>
      </c>
      <c r="B43" s="2">
        <v>45</v>
      </c>
    </row>
    <row r="44" spans="1:2" ht="12.75">
      <c r="A44" s="2" t="s">
        <v>60</v>
      </c>
      <c r="B44" s="2">
        <v>360</v>
      </c>
    </row>
    <row r="45" spans="1:2" ht="12.75">
      <c r="A45" s="1" t="s">
        <v>20</v>
      </c>
      <c r="B45" s="3">
        <v>5000</v>
      </c>
    </row>
    <row r="47" ht="12.75">
      <c r="A47" s="1" t="s">
        <v>22</v>
      </c>
    </row>
    <row r="49" spans="1:2" ht="12.75">
      <c r="A49" s="2" t="s">
        <v>23</v>
      </c>
      <c r="B49" s="3">
        <v>75000</v>
      </c>
    </row>
    <row r="50" spans="1:2" ht="12.75">
      <c r="A50" s="2" t="s">
        <v>29</v>
      </c>
      <c r="B50" s="5">
        <v>0.28</v>
      </c>
    </row>
    <row r="51" spans="1:2" ht="12.75">
      <c r="A51" s="2" t="s">
        <v>24</v>
      </c>
      <c r="B51" s="2">
        <v>1</v>
      </c>
    </row>
    <row r="52" spans="1:2" ht="12.75">
      <c r="A52" s="2" t="s">
        <v>25</v>
      </c>
      <c r="B52" s="2">
        <v>3</v>
      </c>
    </row>
    <row r="53" spans="1:2" ht="12.75">
      <c r="A53" s="2" t="s">
        <v>26</v>
      </c>
      <c r="B53" s="2">
        <v>4</v>
      </c>
    </row>
    <row r="55" ht="12.75">
      <c r="A55" s="1" t="s">
        <v>27</v>
      </c>
    </row>
    <row r="56" spans="1:2" ht="12.75">
      <c r="A56" s="2" t="s">
        <v>28</v>
      </c>
      <c r="B56" s="5">
        <v>0.45</v>
      </c>
    </row>
    <row r="57" spans="1:2" ht="12.75">
      <c r="A57" s="2" t="s">
        <v>52</v>
      </c>
      <c r="B57" s="5">
        <v>0.3</v>
      </c>
    </row>
    <row r="58" ht="12.75">
      <c r="A58" s="1"/>
    </row>
    <row r="59" ht="12.75">
      <c r="A59" s="1" t="s">
        <v>73</v>
      </c>
    </row>
    <row r="60" ht="12.75">
      <c r="A60" s="2" t="s">
        <v>74</v>
      </c>
    </row>
    <row r="61" ht="12.75">
      <c r="A61" s="2" t="s">
        <v>75</v>
      </c>
    </row>
    <row r="62" ht="12.75">
      <c r="A62" s="2" t="s">
        <v>76</v>
      </c>
    </row>
    <row r="63" ht="12.75">
      <c r="A63" s="6" t="s">
        <v>77</v>
      </c>
    </row>
    <row r="64" ht="12.75">
      <c r="A64" s="2" t="s">
        <v>87</v>
      </c>
    </row>
  </sheetData>
  <mergeCells count="3">
    <mergeCell ref="A15:G15"/>
    <mergeCell ref="B4:F4"/>
    <mergeCell ref="A13:F13"/>
  </mergeCells>
  <printOptions/>
  <pageMargins left="1.23" right="0.75" top="1.1811023622047245" bottom="0.6" header="0.7874015748031497" footer="0.66"/>
  <pageSetup horizontalDpi="300" verticalDpi="300" orientation="portrait" r:id="rId2"/>
  <headerFooter alignWithMargins="0">
    <oddHeader>&amp;C&amp;"Tahoma,Regular"FERNANDO FRANCO CUARTAS</oddHeader>
    <oddFooter>&amp;C&amp;"Tahoma,Regular"EVALUACION DE PROYECTOS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89"/>
  <sheetViews>
    <sheetView workbookViewId="0" topLeftCell="A149">
      <selection activeCell="F21" sqref="F21"/>
    </sheetView>
  </sheetViews>
  <sheetFormatPr defaultColWidth="11.421875" defaultRowHeight="12.75"/>
  <cols>
    <col min="1" max="1" width="33.421875" style="8" customWidth="1"/>
    <col min="2" max="2" width="13.57421875" style="8" customWidth="1"/>
    <col min="3" max="3" width="13.140625" style="8" customWidth="1"/>
    <col min="4" max="4" width="15.8515625" style="8" customWidth="1"/>
    <col min="5" max="5" width="14.7109375" style="8" customWidth="1"/>
    <col min="6" max="6" width="14.28125" style="8" customWidth="1"/>
    <col min="7" max="16384" width="11.421875" style="8" customWidth="1"/>
  </cols>
  <sheetData>
    <row r="2" ht="12.75"/>
    <row r="3" spans="3:7" ht="12.75">
      <c r="C3" s="2"/>
      <c r="D3" s="2"/>
      <c r="E3" s="2"/>
      <c r="F3" s="2"/>
      <c r="G3" s="2"/>
    </row>
    <row r="4" spans="2:7" ht="23.25">
      <c r="B4" s="69" t="s">
        <v>152</v>
      </c>
      <c r="C4" s="69"/>
      <c r="D4" s="69"/>
      <c r="E4" s="69"/>
      <c r="F4" s="69"/>
      <c r="G4" s="2"/>
    </row>
    <row r="5" ht="12.75"/>
    <row r="6" ht="12.75"/>
    <row r="7" ht="12.75">
      <c r="D7" s="8" t="s">
        <v>149</v>
      </c>
    </row>
    <row r="10" spans="1:7" ht="12.75">
      <c r="A10" s="2"/>
      <c r="B10" s="2"/>
      <c r="C10" s="2"/>
      <c r="D10" s="2"/>
      <c r="E10" s="2"/>
      <c r="F10" s="2"/>
      <c r="G10" s="2"/>
    </row>
    <row r="13" ht="12.75">
      <c r="A13" s="7" t="s">
        <v>30</v>
      </c>
    </row>
    <row r="14" ht="13.5" thickBot="1"/>
    <row r="15" spans="1:5" ht="13.5" thickBot="1">
      <c r="A15" s="9" t="s">
        <v>32</v>
      </c>
      <c r="B15" s="9" t="s">
        <v>33</v>
      </c>
      <c r="C15" s="9" t="s">
        <v>34</v>
      </c>
      <c r="D15" s="9" t="s">
        <v>35</v>
      </c>
      <c r="E15" s="9" t="s">
        <v>36</v>
      </c>
    </row>
    <row r="16" spans="1:5" ht="12.75">
      <c r="A16" s="10"/>
      <c r="B16" s="10"/>
      <c r="C16" s="10"/>
      <c r="D16" s="10"/>
      <c r="E16" s="10"/>
    </row>
    <row r="17" spans="1:5" ht="12.75">
      <c r="A17" s="11">
        <v>0</v>
      </c>
      <c r="B17" s="12">
        <f>'VARIABLES DE ENTRADA'!B49</f>
        <v>75000</v>
      </c>
      <c r="C17" s="13"/>
      <c r="D17" s="13"/>
      <c r="E17" s="14">
        <f>B17</f>
        <v>75000</v>
      </c>
    </row>
    <row r="18" spans="1:5" ht="12.75">
      <c r="A18" s="11">
        <v>1</v>
      </c>
      <c r="B18" s="10"/>
      <c r="C18" s="11">
        <f>B17*'VARIABLES DE ENTRADA'!B50</f>
        <v>21000.000000000004</v>
      </c>
      <c r="D18" s="11"/>
      <c r="E18" s="11">
        <f>E17</f>
        <v>75000</v>
      </c>
    </row>
    <row r="19" spans="1:5" ht="12.75">
      <c r="A19" s="11">
        <v>2</v>
      </c>
      <c r="B19" s="10"/>
      <c r="C19" s="11">
        <f>E18*'VARIABLES DE ENTRADA'!$B$50</f>
        <v>21000.000000000004</v>
      </c>
      <c r="D19" s="11">
        <f>B17/'VARIABLES DE ENTRADA'!B52</f>
        <v>25000</v>
      </c>
      <c r="E19" s="11">
        <f>E18-D19</f>
        <v>50000</v>
      </c>
    </row>
    <row r="20" spans="1:5" ht="12.75">
      <c r="A20" s="11">
        <v>3</v>
      </c>
      <c r="B20" s="10"/>
      <c r="C20" s="11">
        <f>E19*'VARIABLES DE ENTRADA'!$B$50</f>
        <v>14000.000000000002</v>
      </c>
      <c r="D20" s="11">
        <f>D19</f>
        <v>25000</v>
      </c>
      <c r="E20" s="11">
        <f>E19-D20</f>
        <v>25000</v>
      </c>
    </row>
    <row r="21" spans="1:5" ht="13.5" thickBot="1">
      <c r="A21" s="15">
        <v>4</v>
      </c>
      <c r="B21" s="16"/>
      <c r="C21" s="15">
        <f>E20*'VARIABLES DE ENTRADA'!$B$50</f>
        <v>7000.000000000001</v>
      </c>
      <c r="D21" s="15">
        <f>D20</f>
        <v>25000</v>
      </c>
      <c r="E21" s="15">
        <f>E20-D21</f>
        <v>0</v>
      </c>
    </row>
    <row r="24" ht="12.75">
      <c r="A24" s="7" t="s">
        <v>37</v>
      </c>
    </row>
    <row r="26" spans="2:5" ht="12.75">
      <c r="B26" s="17" t="s">
        <v>38</v>
      </c>
      <c r="C26" s="17" t="s">
        <v>39</v>
      </c>
      <c r="D26" s="17" t="s">
        <v>40</v>
      </c>
      <c r="E26" s="17" t="s">
        <v>41</v>
      </c>
    </row>
    <row r="27" spans="2:5" ht="12.75">
      <c r="B27" s="17"/>
      <c r="C27" s="17"/>
      <c r="D27" s="17"/>
      <c r="E27" s="17"/>
    </row>
    <row r="28" spans="1:5" ht="12.75">
      <c r="A28" s="8" t="s">
        <v>42</v>
      </c>
      <c r="B28" s="18">
        <f>'VARIABLES DE ENTRADA'!B25*'VARIABLES DE ENTRADA'!C23</f>
        <v>400000</v>
      </c>
      <c r="C28" s="18">
        <f>'VARIABLES DE ENTRADA'!C25*'VARIABLES DE ENTRADA'!D23</f>
        <v>540000</v>
      </c>
      <c r="D28" s="18">
        <f>'VARIABLES DE ENTRADA'!D25*'VARIABLES DE ENTRADA'!E23</f>
        <v>729000</v>
      </c>
      <c r="E28" s="18">
        <f>'VARIABLES DE ENTRADA'!E25*'VARIABLES DE ENTRADA'!F23</f>
        <v>984150.0000000001</v>
      </c>
    </row>
    <row r="29" spans="1:5" ht="12.75">
      <c r="A29" s="8" t="s">
        <v>43</v>
      </c>
      <c r="B29" s="19">
        <f>'VARIABLES DE ENTRADA'!$B$31*'PPTO DE CAPITAL'!B28</f>
        <v>240000</v>
      </c>
      <c r="C29" s="19">
        <f>'VARIABLES DE ENTRADA'!$B$31*'PPTO DE CAPITAL'!C28</f>
        <v>324000</v>
      </c>
      <c r="D29" s="19">
        <f>'VARIABLES DE ENTRADA'!$B$31*'PPTO DE CAPITAL'!D28</f>
        <v>437400</v>
      </c>
      <c r="E29" s="19">
        <f>'VARIABLES DE ENTRADA'!$B$31*'PPTO DE CAPITAL'!E28</f>
        <v>590490</v>
      </c>
    </row>
    <row r="30" spans="1:5" ht="12.75">
      <c r="A30" s="8" t="s">
        <v>44</v>
      </c>
      <c r="B30" s="19">
        <f>'VARIABLES DE ENTRADA'!B30</f>
        <v>50000</v>
      </c>
      <c r="C30" s="19">
        <f>B30*(1+'VARIABLES DE ENTRADA'!$B$24)</f>
        <v>62500</v>
      </c>
      <c r="D30" s="19">
        <f>C30*(1+'VARIABLES DE ENTRADA'!$B$24)</f>
        <v>78125</v>
      </c>
      <c r="E30" s="19">
        <f>D30*(1+'VARIABLES DE ENTRADA'!$B$24)</f>
        <v>97656.25</v>
      </c>
    </row>
    <row r="31" spans="1:5" ht="12.75">
      <c r="A31" s="8" t="s">
        <v>45</v>
      </c>
      <c r="B31" s="20">
        <f>'VARIABLES DE ENTRADA'!$B$38/'VARIABLES DE ENTRADA'!$B$19</f>
        <v>15000</v>
      </c>
      <c r="C31" s="20">
        <f>'VARIABLES DE ENTRADA'!$B$38/'VARIABLES DE ENTRADA'!$B$19</f>
        <v>15000</v>
      </c>
      <c r="D31" s="20">
        <f>'VARIABLES DE ENTRADA'!$B$38/'VARIABLES DE ENTRADA'!$B$19</f>
        <v>15000</v>
      </c>
      <c r="E31" s="20">
        <f>'VARIABLES DE ENTRADA'!$B$38/'VARIABLES DE ENTRADA'!$B$19</f>
        <v>15000</v>
      </c>
    </row>
    <row r="32" spans="2:5" ht="13.5" thickBot="1">
      <c r="B32" s="20"/>
      <c r="C32" s="20"/>
      <c r="D32" s="20"/>
      <c r="E32" s="20"/>
    </row>
    <row r="33" spans="1:5" ht="13.5" thickBot="1">
      <c r="A33" s="21" t="s">
        <v>46</v>
      </c>
      <c r="B33" s="22">
        <f>B28-B29-B30-B31</f>
        <v>95000</v>
      </c>
      <c r="C33" s="23">
        <f>C28-C29-C30-C31</f>
        <v>138500</v>
      </c>
      <c r="D33" s="23">
        <f>D28-D29-D30-D31</f>
        <v>198475</v>
      </c>
      <c r="E33" s="24">
        <f>E28-E29-E30-E31</f>
        <v>281003.7500000001</v>
      </c>
    </row>
    <row r="34" spans="2:5" ht="12.75">
      <c r="B34" s="25"/>
      <c r="C34" s="25"/>
      <c r="D34" s="25"/>
      <c r="E34" s="25"/>
    </row>
    <row r="35" spans="1:5" ht="12.75">
      <c r="A35" s="8" t="s">
        <v>12</v>
      </c>
      <c r="B35" s="19">
        <f>'VARIABLES DE ENTRADA'!B32</f>
        <v>30000</v>
      </c>
      <c r="C35" s="19">
        <f>(1+'VARIABLES DE ENTRADA'!$B$24)*'PPTO DE CAPITAL'!B35</f>
        <v>37500</v>
      </c>
      <c r="D35" s="19">
        <f>(1+'VARIABLES DE ENTRADA'!$B$24)*'PPTO DE CAPITAL'!C35</f>
        <v>46875</v>
      </c>
      <c r="E35" s="19">
        <f>(1+'VARIABLES DE ENTRADA'!$B$24)*'PPTO DE CAPITAL'!D35</f>
        <v>58593.75</v>
      </c>
    </row>
    <row r="36" spans="1:5" ht="12.75">
      <c r="A36" s="8" t="s">
        <v>47</v>
      </c>
      <c r="B36" s="20">
        <f>'VARIABLES DE ENTRADA'!$B$45/'VARIABLES DE ENTRADA'!$B$19</f>
        <v>1250</v>
      </c>
      <c r="C36" s="20">
        <f>'VARIABLES DE ENTRADA'!$B$45/'VARIABLES DE ENTRADA'!$B$19</f>
        <v>1250</v>
      </c>
      <c r="D36" s="20">
        <f>'VARIABLES DE ENTRADA'!$B$45/'VARIABLES DE ENTRADA'!$B$19</f>
        <v>1250</v>
      </c>
      <c r="E36" s="20">
        <f>'VARIABLES DE ENTRADA'!$B$45/'VARIABLES DE ENTRADA'!$B$19</f>
        <v>1250</v>
      </c>
    </row>
    <row r="37" spans="2:5" ht="13.5" thickBot="1">
      <c r="B37" s="20"/>
      <c r="C37" s="20"/>
      <c r="D37" s="20"/>
      <c r="E37" s="20"/>
    </row>
    <row r="38" spans="1:5" ht="13.5" thickBot="1">
      <c r="A38" s="26" t="s">
        <v>48</v>
      </c>
      <c r="B38" s="23">
        <f>B33-B35-B36</f>
        <v>63750</v>
      </c>
      <c r="C38" s="23">
        <f>C33-C35-C36</f>
        <v>99750</v>
      </c>
      <c r="D38" s="23">
        <f>D33-D35-D36</f>
        <v>150350</v>
      </c>
      <c r="E38" s="24">
        <f>E33-E35-E36</f>
        <v>221160.00000000012</v>
      </c>
    </row>
    <row r="39" spans="1:5" ht="12.75">
      <c r="A39" s="27"/>
      <c r="B39" s="25"/>
      <c r="C39" s="25"/>
      <c r="D39" s="25"/>
      <c r="E39" s="25"/>
    </row>
    <row r="40" spans="1:5" ht="12.75">
      <c r="A40" s="8" t="s">
        <v>49</v>
      </c>
      <c r="B40" s="20">
        <f>'PPTO DE CAPITAL'!C18</f>
        <v>21000.000000000004</v>
      </c>
      <c r="C40" s="20">
        <f>'PPTO DE CAPITAL'!C19</f>
        <v>21000.000000000004</v>
      </c>
      <c r="D40" s="20">
        <f>'PPTO DE CAPITAL'!C20</f>
        <v>14000.000000000002</v>
      </c>
      <c r="E40" s="20">
        <f>'PPTO DE CAPITAL'!C21</f>
        <v>7000.000000000001</v>
      </c>
    </row>
    <row r="41" spans="2:5" ht="13.5" thickBot="1">
      <c r="B41" s="20"/>
      <c r="C41" s="20"/>
      <c r="D41" s="20"/>
      <c r="E41" s="20"/>
    </row>
    <row r="42" spans="1:5" ht="13.5" thickBot="1">
      <c r="A42" s="21" t="s">
        <v>50</v>
      </c>
      <c r="B42" s="23">
        <f>B38-B40</f>
        <v>42750</v>
      </c>
      <c r="C42" s="23">
        <f>C38-C40</f>
        <v>78750</v>
      </c>
      <c r="D42" s="23">
        <f>D38-D40</f>
        <v>136350</v>
      </c>
      <c r="E42" s="24">
        <f>E38-E40</f>
        <v>214160.00000000012</v>
      </c>
    </row>
    <row r="43" spans="2:5" ht="12.75">
      <c r="B43" s="25"/>
      <c r="C43" s="25"/>
      <c r="D43" s="25"/>
      <c r="E43" s="25"/>
    </row>
    <row r="44" spans="1:5" ht="12.75">
      <c r="A44" s="8" t="s">
        <v>53</v>
      </c>
      <c r="B44" s="20">
        <f>B42*'VARIABLES DE ENTRADA'!$B$57</f>
        <v>12825</v>
      </c>
      <c r="C44" s="20">
        <f>C42*'VARIABLES DE ENTRADA'!$B$57</f>
        <v>23625</v>
      </c>
      <c r="D44" s="20">
        <f>D42*'VARIABLES DE ENTRADA'!$B$57</f>
        <v>40905</v>
      </c>
      <c r="E44" s="20">
        <f>E42*'VARIABLES DE ENTRADA'!$B$57</f>
        <v>64248.00000000003</v>
      </c>
    </row>
    <row r="45" spans="2:5" ht="13.5" thickBot="1">
      <c r="B45" s="20"/>
      <c r="C45" s="20"/>
      <c r="D45" s="20"/>
      <c r="E45" s="20"/>
    </row>
    <row r="46" spans="1:5" ht="13.5" thickBot="1">
      <c r="A46" s="21" t="s">
        <v>51</v>
      </c>
      <c r="B46" s="23">
        <f>B42-B44</f>
        <v>29925</v>
      </c>
      <c r="C46" s="23">
        <f>C42-C44</f>
        <v>55125</v>
      </c>
      <c r="D46" s="23">
        <f>D42-D44</f>
        <v>95445</v>
      </c>
      <c r="E46" s="24">
        <f>E42-E44</f>
        <v>149912.0000000001</v>
      </c>
    </row>
    <row r="49" ht="12.75">
      <c r="A49" s="7" t="s">
        <v>54</v>
      </c>
    </row>
    <row r="51" ht="12.75">
      <c r="A51" s="28" t="s">
        <v>14</v>
      </c>
    </row>
    <row r="52" spans="1:2" ht="12.75">
      <c r="A52" s="8" t="s">
        <v>55</v>
      </c>
      <c r="B52" s="19">
        <f>'VARIABLES DE ENTRADA'!B37</f>
        <v>16000</v>
      </c>
    </row>
    <row r="53" spans="1:2" ht="12.75">
      <c r="A53" s="8" t="s">
        <v>16</v>
      </c>
      <c r="B53" s="29">
        <f>'VARIABLES DE ENTRADA'!B38</f>
        <v>60000</v>
      </c>
    </row>
    <row r="54" ht="13.5" thickBot="1">
      <c r="B54" s="20"/>
    </row>
    <row r="55" spans="1:3" ht="13.5" thickBot="1">
      <c r="A55" s="8" t="s">
        <v>56</v>
      </c>
      <c r="C55" s="30">
        <f>SUM(B52:B53)</f>
        <v>76000</v>
      </c>
    </row>
    <row r="57" ht="12.75">
      <c r="A57" s="28" t="s">
        <v>57</v>
      </c>
    </row>
    <row r="58" spans="1:2" ht="12.75">
      <c r="A58" s="8" t="s">
        <v>58</v>
      </c>
      <c r="B58" s="19">
        <f>'VARIABLES DE ENTRADA'!B41</f>
        <v>4000</v>
      </c>
    </row>
    <row r="59" spans="1:2" ht="12.75">
      <c r="A59" s="8" t="s">
        <v>59</v>
      </c>
      <c r="B59" s="31">
        <f>((B29+B30+B31)/'VARIABLES DE ENTRADA'!B44)*'VARIABLES DE ENTRADA'!B43</f>
        <v>38125</v>
      </c>
    </row>
    <row r="60" ht="13.5" thickBot="1">
      <c r="B60" s="31"/>
    </row>
    <row r="61" spans="1:3" ht="13.5" thickBot="1">
      <c r="A61" s="8" t="s">
        <v>56</v>
      </c>
      <c r="C61" s="30">
        <f>SUM(B58:B59)</f>
        <v>42125</v>
      </c>
    </row>
    <row r="62" ht="12.75">
      <c r="B62" s="20"/>
    </row>
    <row r="63" ht="12.75">
      <c r="A63" s="28" t="s">
        <v>61</v>
      </c>
    </row>
    <row r="64" ht="13.5" thickBot="1">
      <c r="A64" s="28"/>
    </row>
    <row r="65" spans="1:3" ht="13.5" thickBot="1">
      <c r="A65" s="8" t="s">
        <v>62</v>
      </c>
      <c r="C65" s="30">
        <f>'VARIABLES DE ENTRADA'!B45</f>
        <v>5000</v>
      </c>
    </row>
    <row r="66" ht="13.5" thickBot="1"/>
    <row r="67" spans="1:3" ht="13.5" thickBot="1">
      <c r="A67" s="32" t="s">
        <v>63</v>
      </c>
      <c r="B67" s="33"/>
      <c r="C67" s="24">
        <f>C55+C61+C65</f>
        <v>123125</v>
      </c>
    </row>
    <row r="70" ht="12.75">
      <c r="A70" s="7" t="s">
        <v>31</v>
      </c>
    </row>
    <row r="71" ht="13.5" thickBot="1">
      <c r="B71" s="20"/>
    </row>
    <row r="72" spans="1:6" ht="13.5" thickBot="1">
      <c r="A72" s="9" t="s">
        <v>64</v>
      </c>
      <c r="B72" s="9" t="s">
        <v>65</v>
      </c>
      <c r="C72" s="9" t="s">
        <v>67</v>
      </c>
      <c r="D72" s="9" t="s">
        <v>66</v>
      </c>
      <c r="E72" s="9" t="s">
        <v>68</v>
      </c>
      <c r="F72" s="9" t="s">
        <v>69</v>
      </c>
    </row>
    <row r="73" spans="1:6" ht="12.75">
      <c r="A73" s="10"/>
      <c r="B73" s="10"/>
      <c r="C73" s="10"/>
      <c r="D73" s="10"/>
      <c r="E73" s="10"/>
      <c r="F73" s="10"/>
    </row>
    <row r="74" spans="1:6" ht="12.75">
      <c r="A74" s="11" t="s">
        <v>70</v>
      </c>
      <c r="B74" s="12">
        <f>'VARIABLES DE ENTRADA'!B49</f>
        <v>75000</v>
      </c>
      <c r="C74" s="34">
        <f>'VARIABLES DE ENTRADA'!B50</f>
        <v>0.28</v>
      </c>
      <c r="D74" s="35">
        <f>C74*(1-'VARIABLES DE ENTRADA'!B57)</f>
        <v>0.196</v>
      </c>
      <c r="E74" s="35">
        <f>B74/C67</f>
        <v>0.6091370558375635</v>
      </c>
      <c r="F74" s="35">
        <f>D74*(B74/C67)</f>
        <v>0.11939086294416246</v>
      </c>
    </row>
    <row r="75" spans="1:6" ht="12.75">
      <c r="A75" s="11" t="s">
        <v>71</v>
      </c>
      <c r="B75" s="12">
        <f>C67-B74</f>
        <v>48125</v>
      </c>
      <c r="C75" s="34">
        <f>'VARIABLES DE ENTRADA'!B56</f>
        <v>0.45</v>
      </c>
      <c r="D75" s="35">
        <f>C75</f>
        <v>0.45</v>
      </c>
      <c r="E75" s="35">
        <f>1-E74</f>
        <v>0.3908629441624365</v>
      </c>
      <c r="F75" s="35">
        <f>D75*E75</f>
        <v>0.17588832487309644</v>
      </c>
    </row>
    <row r="76" spans="1:6" ht="13.5" thickBot="1">
      <c r="A76" s="11"/>
      <c r="B76" s="11"/>
      <c r="C76" s="10"/>
      <c r="D76" s="10"/>
      <c r="E76" s="10"/>
      <c r="F76" s="10"/>
    </row>
    <row r="77" spans="1:6" ht="13.5" thickBot="1">
      <c r="A77" s="16"/>
      <c r="B77" s="36">
        <f>SUM(B74:B76)</f>
        <v>123125</v>
      </c>
      <c r="C77" s="16"/>
      <c r="D77" s="16"/>
      <c r="E77" s="37" t="s">
        <v>72</v>
      </c>
      <c r="F77" s="38">
        <f>SUM(F74:F76)</f>
        <v>0.2952791878172589</v>
      </c>
    </row>
    <row r="80" ht="12.75">
      <c r="A80" s="7" t="s">
        <v>78</v>
      </c>
    </row>
    <row r="82" spans="2:6" ht="12.75">
      <c r="B82" s="17" t="s">
        <v>82</v>
      </c>
      <c r="C82" s="17" t="s">
        <v>38</v>
      </c>
      <c r="D82" s="17" t="s">
        <v>39</v>
      </c>
      <c r="E82" s="17" t="s">
        <v>40</v>
      </c>
      <c r="F82" s="17" t="s">
        <v>41</v>
      </c>
    </row>
    <row r="84" spans="1:6" ht="12.75">
      <c r="A84" s="8" t="s">
        <v>17</v>
      </c>
      <c r="B84" s="19">
        <f>'VARIABLES DE ENTRADA'!$B$41</f>
        <v>4000</v>
      </c>
      <c r="C84" s="19">
        <f>'VARIABLES DE ENTRADA'!$B$41</f>
        <v>4000</v>
      </c>
      <c r="D84" s="19">
        <f>'VARIABLES DE ENTRADA'!$B$41</f>
        <v>4000</v>
      </c>
      <c r="E84" s="19">
        <f>'VARIABLES DE ENTRADA'!$B$41</f>
        <v>4000</v>
      </c>
      <c r="F84" s="19">
        <f>'VARIABLES DE ENTRADA'!$B$41</f>
        <v>4000</v>
      </c>
    </row>
    <row r="85" spans="1:6" ht="12.75">
      <c r="A85" s="8" t="s">
        <v>79</v>
      </c>
      <c r="B85" s="19">
        <v>0</v>
      </c>
      <c r="C85" s="19">
        <f>(B28/'VARIABLES DE ENTRADA'!$B$44)*'VARIABLES DE ENTRADA'!$B$42</f>
        <v>33333.333333333336</v>
      </c>
      <c r="D85" s="19">
        <f>(C28/'VARIABLES DE ENTRADA'!$B$44)*'VARIABLES DE ENTRADA'!$B$42</f>
        <v>45000</v>
      </c>
      <c r="E85" s="19">
        <f>(D28/'VARIABLES DE ENTRADA'!$B$44)*'VARIABLES DE ENTRADA'!$B$42</f>
        <v>60750</v>
      </c>
      <c r="F85" s="19">
        <f>(E28/'VARIABLES DE ENTRADA'!$B$44)*'VARIABLES DE ENTRADA'!$B$42</f>
        <v>82012.50000000001</v>
      </c>
    </row>
    <row r="86" spans="1:6" ht="12.75">
      <c r="A86" s="8" t="s">
        <v>83</v>
      </c>
      <c r="B86" s="39">
        <f>((B29+B30+B31)/'VARIABLES DE ENTRADA'!$B$44)*'VARIABLES DE ENTRADA'!$B$43</f>
        <v>38125</v>
      </c>
      <c r="C86" s="39">
        <f>((C29+C30+C31)/'VARIABLES DE ENTRADA'!$B$44)*'VARIABLES DE ENTRADA'!$B$43</f>
        <v>50187.5</v>
      </c>
      <c r="D86" s="39">
        <f>((D29+D30+D31)/'VARIABLES DE ENTRADA'!$B$44)*'VARIABLES DE ENTRADA'!$B$43</f>
        <v>66315.625</v>
      </c>
      <c r="E86" s="39">
        <f>((E29+E30+E31)/'VARIABLES DE ENTRADA'!$B$44)*'VARIABLES DE ENTRADA'!$B$43</f>
        <v>87893.28125</v>
      </c>
      <c r="F86" s="39">
        <f>E86</f>
        <v>87893.28125</v>
      </c>
    </row>
    <row r="87" spans="4:6" ht="12.75">
      <c r="D87" s="19"/>
      <c r="E87" s="19"/>
      <c r="F87" s="19"/>
    </row>
    <row r="88" spans="1:6" ht="12.75">
      <c r="A88" s="8" t="s">
        <v>80</v>
      </c>
      <c r="B88" s="25">
        <f>SUM(B84:B86)</f>
        <v>42125</v>
      </c>
      <c r="C88" s="25">
        <f>SUM(C84:C86)</f>
        <v>87520.83333333334</v>
      </c>
      <c r="D88" s="25">
        <f>SUM(D84:D86)</f>
        <v>115315.625</v>
      </c>
      <c r="E88" s="25">
        <f>SUM(E84:E86)</f>
        <v>152643.28125</v>
      </c>
      <c r="F88" s="25">
        <f>SUM(F84:F86)</f>
        <v>173905.78125</v>
      </c>
    </row>
    <row r="89" spans="2:5" ht="13.5" thickBot="1">
      <c r="B89" s="19"/>
      <c r="C89" s="19"/>
      <c r="D89" s="19"/>
      <c r="E89" s="19"/>
    </row>
    <row r="90" spans="1:6" ht="13.5" thickBot="1">
      <c r="A90" s="21" t="s">
        <v>81</v>
      </c>
      <c r="B90" s="33"/>
      <c r="C90" s="23">
        <f>C88-B88</f>
        <v>45395.83333333334</v>
      </c>
      <c r="D90" s="23">
        <f>D88-C88</f>
        <v>27794.791666666657</v>
      </c>
      <c r="E90" s="23">
        <f>E88-D88</f>
        <v>37327.65625</v>
      </c>
      <c r="F90" s="24">
        <f>F88-E88</f>
        <v>21262.5</v>
      </c>
    </row>
    <row r="91" spans="3:6" ht="12.75">
      <c r="C91" s="25"/>
      <c r="D91" s="25"/>
      <c r="E91" s="25"/>
      <c r="F91" s="25"/>
    </row>
    <row r="93" spans="1:6" ht="12.75">
      <c r="A93" s="7" t="s">
        <v>84</v>
      </c>
      <c r="C93" s="17" t="s">
        <v>38</v>
      </c>
      <c r="D93" s="17" t="s">
        <v>39</v>
      </c>
      <c r="E93" s="17" t="s">
        <v>40</v>
      </c>
      <c r="F93" s="17" t="s">
        <v>41</v>
      </c>
    </row>
    <row r="95" spans="1:7" ht="12.75">
      <c r="A95" s="8" t="s">
        <v>43</v>
      </c>
      <c r="C95" s="19">
        <f>B29</f>
        <v>240000</v>
      </c>
      <c r="D95" s="19">
        <f>C29</f>
        <v>324000</v>
      </c>
      <c r="E95" s="19">
        <f>D29</f>
        <v>437400</v>
      </c>
      <c r="F95" s="19">
        <f>E29</f>
        <v>590490</v>
      </c>
      <c r="G95" s="19"/>
    </row>
    <row r="96" spans="1:6" ht="12.75">
      <c r="A96" s="8" t="s">
        <v>44</v>
      </c>
      <c r="B96" s="19"/>
      <c r="C96" s="19">
        <f>B30</f>
        <v>50000</v>
      </c>
      <c r="D96" s="19">
        <f>C96*(1+'VARIABLES DE ENTRADA'!$B$24)</f>
        <v>62500</v>
      </c>
      <c r="E96" s="19">
        <f>D96*(1+'VARIABLES DE ENTRADA'!$B$24)</f>
        <v>78125</v>
      </c>
      <c r="F96" s="19">
        <f>E96*(1+'VARIABLES DE ENTRADA'!$B$24)</f>
        <v>97656.25</v>
      </c>
    </row>
    <row r="97" spans="1:6" ht="12.75">
      <c r="A97" s="8" t="s">
        <v>45</v>
      </c>
      <c r="C97" s="19">
        <f>'VARIABLES DE ENTRADA'!$B$38/'VARIABLES DE ENTRADA'!$B$19</f>
        <v>15000</v>
      </c>
      <c r="D97" s="19">
        <f>'VARIABLES DE ENTRADA'!$B$38/'VARIABLES DE ENTRADA'!$B$19</f>
        <v>15000</v>
      </c>
      <c r="E97" s="19">
        <f>'VARIABLES DE ENTRADA'!$B$38/'VARIABLES DE ENTRADA'!$B$19</f>
        <v>15000</v>
      </c>
      <c r="F97" s="19">
        <f>'VARIABLES DE ENTRADA'!$B$38/'VARIABLES DE ENTRADA'!$B$19</f>
        <v>15000</v>
      </c>
    </row>
    <row r="98" spans="3:6" ht="13.5" thickBot="1">
      <c r="C98" s="20"/>
      <c r="D98" s="20"/>
      <c r="E98" s="20"/>
      <c r="F98" s="20"/>
    </row>
    <row r="99" spans="1:6" ht="13.5" thickBot="1">
      <c r="A99" s="21" t="s">
        <v>85</v>
      </c>
      <c r="B99" s="33"/>
      <c r="C99" s="23">
        <f>C95+C96+C97</f>
        <v>305000</v>
      </c>
      <c r="D99" s="23">
        <f>D95+D96+D97</f>
        <v>401500</v>
      </c>
      <c r="E99" s="23">
        <f>E95+E96+E97</f>
        <v>530525</v>
      </c>
      <c r="F99" s="24">
        <f>F95+F96+F97</f>
        <v>703146.25</v>
      </c>
    </row>
    <row r="102" ht="12.75">
      <c r="A102" s="7" t="s">
        <v>86</v>
      </c>
    </row>
    <row r="104" spans="2:5" ht="12.75">
      <c r="B104" s="17" t="s">
        <v>38</v>
      </c>
      <c r="C104" s="17" t="s">
        <v>39</v>
      </c>
      <c r="D104" s="17" t="s">
        <v>40</v>
      </c>
      <c r="E104" s="17" t="s">
        <v>41</v>
      </c>
    </row>
    <row r="106" spans="1:5" ht="12.75">
      <c r="A106" s="8" t="s">
        <v>42</v>
      </c>
      <c r="B106" s="18">
        <f>B28</f>
        <v>400000</v>
      </c>
      <c r="C106" s="18">
        <f>C28</f>
        <v>540000</v>
      </c>
      <c r="D106" s="18">
        <f>D28</f>
        <v>729000</v>
      </c>
      <c r="E106" s="18">
        <f>E28</f>
        <v>984150.0000000001</v>
      </c>
    </row>
    <row r="107" spans="1:5" ht="12.75">
      <c r="A107" s="8" t="s">
        <v>43</v>
      </c>
      <c r="B107" s="19">
        <f>'VARIABLES DE ENTRADA'!$B$31*'PPTO DE CAPITAL'!B106</f>
        <v>240000</v>
      </c>
      <c r="C107" s="19">
        <f>'VARIABLES DE ENTRADA'!$B$31*'PPTO DE CAPITAL'!C106</f>
        <v>324000</v>
      </c>
      <c r="D107" s="19">
        <f>'VARIABLES DE ENTRADA'!$B$31*'PPTO DE CAPITAL'!D106</f>
        <v>437400</v>
      </c>
      <c r="E107" s="19">
        <f>'VARIABLES DE ENTRADA'!$B$31*'PPTO DE CAPITAL'!E106</f>
        <v>590490</v>
      </c>
    </row>
    <row r="108" spans="1:5" ht="12.75">
      <c r="A108" s="8" t="s">
        <v>44</v>
      </c>
      <c r="B108" s="19">
        <f>B30</f>
        <v>50000</v>
      </c>
      <c r="C108" s="19">
        <f>B108*(1+'VARIABLES DE ENTRADA'!$B$24)</f>
        <v>62500</v>
      </c>
      <c r="D108" s="19">
        <f>C108*(1+'VARIABLES DE ENTRADA'!$B$24)</f>
        <v>78125</v>
      </c>
      <c r="E108" s="19">
        <f>D108*(1+'VARIABLES DE ENTRADA'!$B$24)</f>
        <v>97656.25</v>
      </c>
    </row>
    <row r="109" spans="1:5" ht="12.75">
      <c r="A109" s="8" t="s">
        <v>45</v>
      </c>
      <c r="B109" s="19">
        <f>'VARIABLES DE ENTRADA'!$B$38/'VARIABLES DE ENTRADA'!$B$19</f>
        <v>15000</v>
      </c>
      <c r="C109" s="19">
        <f>'VARIABLES DE ENTRADA'!$B$38/'VARIABLES DE ENTRADA'!$B$19</f>
        <v>15000</v>
      </c>
      <c r="D109" s="19">
        <f>'VARIABLES DE ENTRADA'!$B$38/'VARIABLES DE ENTRADA'!$B$19</f>
        <v>15000</v>
      </c>
      <c r="E109" s="19">
        <f>'VARIABLES DE ENTRADA'!$B$38/'VARIABLES DE ENTRADA'!$B$19</f>
        <v>15000</v>
      </c>
    </row>
    <row r="110" spans="2:5" ht="13.5" thickBot="1">
      <c r="B110" s="20"/>
      <c r="C110" s="20"/>
      <c r="D110" s="20"/>
      <c r="E110" s="20"/>
    </row>
    <row r="111" spans="1:5" ht="13.5" thickBot="1">
      <c r="A111" s="21" t="s">
        <v>46</v>
      </c>
      <c r="B111" s="23">
        <f>B106-B107-B108-B109</f>
        <v>95000</v>
      </c>
      <c r="C111" s="23">
        <f>C106-C107-C108-C109</f>
        <v>138500</v>
      </c>
      <c r="D111" s="23">
        <f>D106-D107-D108-D109</f>
        <v>198475</v>
      </c>
      <c r="E111" s="24">
        <f>E106-E107-E108-E109</f>
        <v>281003.7500000001</v>
      </c>
    </row>
    <row r="112" spans="2:5" ht="12.75">
      <c r="B112" s="25"/>
      <c r="C112" s="25"/>
      <c r="D112" s="25"/>
      <c r="E112" s="25"/>
    </row>
    <row r="113" spans="1:5" ht="12.75">
      <c r="A113" s="8" t="s">
        <v>12</v>
      </c>
      <c r="B113" s="19">
        <f>B35</f>
        <v>30000</v>
      </c>
      <c r="C113" s="19">
        <f>(1+'VARIABLES DE ENTRADA'!$B$24)*'PPTO DE CAPITAL'!B113</f>
        <v>37500</v>
      </c>
      <c r="D113" s="19">
        <f>(1+'VARIABLES DE ENTRADA'!$B$24)*'PPTO DE CAPITAL'!C113</f>
        <v>46875</v>
      </c>
      <c r="E113" s="19">
        <f>(1+'VARIABLES DE ENTRADA'!$B$24)*'PPTO DE CAPITAL'!D113</f>
        <v>58593.75</v>
      </c>
    </row>
    <row r="114" spans="1:5" ht="12.75">
      <c r="A114" s="8" t="s">
        <v>47</v>
      </c>
      <c r="B114" s="19">
        <f>'VARIABLES DE ENTRADA'!$B$45/'VARIABLES DE ENTRADA'!$B$19</f>
        <v>1250</v>
      </c>
      <c r="C114" s="19">
        <f>'VARIABLES DE ENTRADA'!$B$45/'VARIABLES DE ENTRADA'!$B$19</f>
        <v>1250</v>
      </c>
      <c r="D114" s="19">
        <f>'VARIABLES DE ENTRADA'!$B$45/'VARIABLES DE ENTRADA'!$B$19</f>
        <v>1250</v>
      </c>
      <c r="E114" s="19">
        <f>'VARIABLES DE ENTRADA'!$B$45/'VARIABLES DE ENTRADA'!$B$19</f>
        <v>1250</v>
      </c>
    </row>
    <row r="115" spans="2:5" ht="13.5" thickBot="1">
      <c r="B115" s="20"/>
      <c r="C115" s="20"/>
      <c r="D115" s="20"/>
      <c r="E115" s="20"/>
    </row>
    <row r="116" spans="1:5" ht="13.5" thickBot="1">
      <c r="A116" s="40" t="s">
        <v>48</v>
      </c>
      <c r="B116" s="23">
        <f>B111-B113-B114</f>
        <v>63750</v>
      </c>
      <c r="C116" s="23">
        <f>C111-C113-C114</f>
        <v>99750</v>
      </c>
      <c r="D116" s="23">
        <f>D111-D113-D114</f>
        <v>150350</v>
      </c>
      <c r="E116" s="24">
        <f>E111-E113-E114</f>
        <v>221160.00000000012</v>
      </c>
    </row>
    <row r="117" spans="1:5" ht="12.75">
      <c r="A117" s="27"/>
      <c r="B117" s="25"/>
      <c r="C117" s="25"/>
      <c r="D117" s="25"/>
      <c r="E117" s="25"/>
    </row>
    <row r="118" spans="1:5" ht="12.75">
      <c r="A118" s="19" t="s">
        <v>53</v>
      </c>
      <c r="B118" s="19">
        <f>B116*'VARIABLES DE ENTRADA'!$B$57</f>
        <v>19125</v>
      </c>
      <c r="C118" s="19">
        <f>C116*'VARIABLES DE ENTRADA'!$B$57</f>
        <v>29925</v>
      </c>
      <c r="D118" s="19">
        <f>D116*'VARIABLES DE ENTRADA'!$B$57</f>
        <v>45105</v>
      </c>
      <c r="E118" s="19">
        <f>E116*'VARIABLES DE ENTRADA'!$B$57</f>
        <v>66348.00000000003</v>
      </c>
    </row>
    <row r="119" spans="2:5" ht="13.5" thickBot="1">
      <c r="B119" s="25"/>
      <c r="C119" s="25"/>
      <c r="D119" s="25"/>
      <c r="E119" s="25"/>
    </row>
    <row r="120" spans="1:5" ht="13.5" thickBot="1">
      <c r="A120" s="21" t="s">
        <v>88</v>
      </c>
      <c r="B120" s="23">
        <f>B116-B118</f>
        <v>44625</v>
      </c>
      <c r="C120" s="23">
        <f>C116-C118</f>
        <v>69825</v>
      </c>
      <c r="D120" s="23">
        <f>D116-D118</f>
        <v>105245</v>
      </c>
      <c r="E120" s="24">
        <f>E116-E118</f>
        <v>154812.0000000001</v>
      </c>
    </row>
    <row r="121" spans="1:5" ht="12.75">
      <c r="A121" s="41"/>
      <c r="B121" s="42"/>
      <c r="C121" s="42"/>
      <c r="D121" s="42"/>
      <c r="E121" s="42"/>
    </row>
    <row r="122" spans="1:5" ht="12.75">
      <c r="A122" s="8" t="s">
        <v>89</v>
      </c>
      <c r="B122" s="19">
        <f>B109</f>
        <v>15000</v>
      </c>
      <c r="C122" s="19">
        <f>C109</f>
        <v>15000</v>
      </c>
      <c r="D122" s="19">
        <f>D109</f>
        <v>15000</v>
      </c>
      <c r="E122" s="19">
        <f>E109</f>
        <v>15000</v>
      </c>
    </row>
    <row r="123" spans="1:5" ht="12.75">
      <c r="A123" s="8" t="s">
        <v>90</v>
      </c>
      <c r="B123" s="19">
        <f>B114</f>
        <v>1250</v>
      </c>
      <c r="C123" s="19">
        <f>C114</f>
        <v>1250</v>
      </c>
      <c r="D123" s="19">
        <f>D114</f>
        <v>1250</v>
      </c>
      <c r="E123" s="19">
        <f>E114</f>
        <v>1250</v>
      </c>
    </row>
    <row r="124" spans="1:5" ht="12.75">
      <c r="A124" s="8" t="s">
        <v>91</v>
      </c>
      <c r="B124" s="19">
        <f>-C90</f>
        <v>-45395.83333333334</v>
      </c>
      <c r="C124" s="19">
        <f>-D90</f>
        <v>-27794.791666666657</v>
      </c>
      <c r="D124" s="19">
        <f>-E90</f>
        <v>-37327.65625</v>
      </c>
      <c r="E124" s="19">
        <f>-F90</f>
        <v>-21262.5</v>
      </c>
    </row>
    <row r="125" spans="1:5" ht="12.75">
      <c r="A125" s="43" t="s">
        <v>92</v>
      </c>
      <c r="B125" s="19"/>
      <c r="C125" s="19"/>
      <c r="D125" s="19"/>
      <c r="E125" s="19">
        <f>F88</f>
        <v>173905.78125</v>
      </c>
    </row>
    <row r="126" ht="13.5" thickBot="1"/>
    <row r="127" spans="1:5" ht="13.5" thickBot="1">
      <c r="A127" s="21" t="s">
        <v>107</v>
      </c>
      <c r="B127" s="23">
        <f>B120+B122+B123+B124</f>
        <v>15479.166666666657</v>
      </c>
      <c r="C127" s="23">
        <f>C120+C122+C123+C124</f>
        <v>58280.20833333334</v>
      </c>
      <c r="D127" s="23">
        <f>D120+D122+D123+D124</f>
        <v>84167.34375</v>
      </c>
      <c r="E127" s="24">
        <f>E120+E122+E123+E124+E125</f>
        <v>323705.2812500001</v>
      </c>
    </row>
    <row r="130" ht="12.75">
      <c r="A130" s="7" t="s">
        <v>93</v>
      </c>
    </row>
    <row r="131" ht="13.5" thickBot="1"/>
    <row r="132" spans="2:6" ht="13.5" thickBot="1">
      <c r="B132" s="9" t="s">
        <v>82</v>
      </c>
      <c r="C132" s="9" t="s">
        <v>38</v>
      </c>
      <c r="D132" s="9" t="s">
        <v>39</v>
      </c>
      <c r="E132" s="9" t="s">
        <v>40</v>
      </c>
      <c r="F132" s="9" t="s">
        <v>41</v>
      </c>
    </row>
    <row r="133" spans="2:6" ht="12.75">
      <c r="B133" s="10"/>
      <c r="C133" s="10"/>
      <c r="D133" s="10"/>
      <c r="E133" s="10"/>
      <c r="F133" s="10"/>
    </row>
    <row r="134" spans="2:6" ht="13.5" thickBot="1">
      <c r="B134" s="44">
        <f>-B77</f>
        <v>-123125</v>
      </c>
      <c r="C134" s="44">
        <v>15479.166666666657</v>
      </c>
      <c r="D134" s="44">
        <v>58280.20833333334</v>
      </c>
      <c r="E134" s="44">
        <v>84167.34375</v>
      </c>
      <c r="F134" s="44">
        <v>323705.28</v>
      </c>
    </row>
    <row r="135" spans="2:6" ht="12.75">
      <c r="B135" s="45"/>
      <c r="C135" s="45"/>
      <c r="D135" s="45"/>
      <c r="E135" s="45"/>
      <c r="F135" s="45"/>
    </row>
    <row r="137" ht="12.75">
      <c r="A137" s="7" t="s">
        <v>94</v>
      </c>
    </row>
    <row r="138" ht="12.75">
      <c r="A138" s="7"/>
    </row>
    <row r="139" ht="12.75">
      <c r="A139" s="7"/>
    </row>
    <row r="150" spans="2:3" ht="12.75">
      <c r="B150" s="8" t="s">
        <v>95</v>
      </c>
      <c r="C150" s="46">
        <f>IRR(B134:F134)</f>
        <v>0.5076375283286847</v>
      </c>
    </row>
    <row r="151" spans="2:3" ht="12.75">
      <c r="B151" s="8" t="s">
        <v>96</v>
      </c>
      <c r="C151" s="47">
        <f>NPV(F77,C134:F134)+B134</f>
        <v>77292.71519054464</v>
      </c>
    </row>
    <row r="153" ht="12.75">
      <c r="A153" s="7" t="s">
        <v>97</v>
      </c>
    </row>
    <row r="154" ht="13.5" thickBot="1"/>
    <row r="155" spans="2:4" ht="12.75">
      <c r="B155" s="48" t="s">
        <v>95</v>
      </c>
      <c r="D155" s="48" t="s">
        <v>72</v>
      </c>
    </row>
    <row r="156" spans="1:4" ht="13.5" thickBot="1">
      <c r="A156" s="8" t="s">
        <v>99</v>
      </c>
      <c r="B156" s="49">
        <f>C150</f>
        <v>0.5076375283286847</v>
      </c>
      <c r="C156" s="50" t="s">
        <v>98</v>
      </c>
      <c r="D156" s="49">
        <f>F77</f>
        <v>0.2952791878172589</v>
      </c>
    </row>
    <row r="159" ht="12.75">
      <c r="A159" s="7" t="s">
        <v>100</v>
      </c>
    </row>
    <row r="162" spans="2:5" ht="12.75">
      <c r="B162" s="17" t="s">
        <v>38</v>
      </c>
      <c r="C162" s="17" t="s">
        <v>39</v>
      </c>
      <c r="D162" s="17" t="s">
        <v>40</v>
      </c>
      <c r="E162" s="17" t="s">
        <v>41</v>
      </c>
    </row>
    <row r="163" spans="2:5" ht="12.75">
      <c r="B163" s="17"/>
      <c r="C163" s="17"/>
      <c r="D163" s="17"/>
      <c r="E163" s="17"/>
    </row>
    <row r="164" spans="1:5" ht="12.75">
      <c r="A164" s="8" t="s">
        <v>42</v>
      </c>
      <c r="B164" s="18">
        <f>B28</f>
        <v>400000</v>
      </c>
      <c r="C164" s="18">
        <f>C28</f>
        <v>540000</v>
      </c>
      <c r="D164" s="18">
        <f>D28</f>
        <v>729000</v>
      </c>
      <c r="E164" s="18">
        <f>E28</f>
        <v>984150.0000000001</v>
      </c>
    </row>
    <row r="165" spans="1:5" ht="12.75">
      <c r="A165" s="8" t="s">
        <v>43</v>
      </c>
      <c r="B165" s="19">
        <f>'VARIABLES DE ENTRADA'!$B$31*'PPTO DE CAPITAL'!B164</f>
        <v>240000</v>
      </c>
      <c r="C165" s="19">
        <f>'VARIABLES DE ENTRADA'!$B$31*'PPTO DE CAPITAL'!C164</f>
        <v>324000</v>
      </c>
      <c r="D165" s="19">
        <f>'VARIABLES DE ENTRADA'!$B$31*'PPTO DE CAPITAL'!D164</f>
        <v>437400</v>
      </c>
      <c r="E165" s="19">
        <f>'VARIABLES DE ENTRADA'!$B$31*'PPTO DE CAPITAL'!E164</f>
        <v>590490</v>
      </c>
    </row>
    <row r="166" spans="1:5" ht="12.75">
      <c r="A166" s="8" t="s">
        <v>44</v>
      </c>
      <c r="B166" s="19">
        <f>C96</f>
        <v>50000</v>
      </c>
      <c r="C166" s="19">
        <f>B166*(1+'VARIABLES DE ENTRADA'!$B$24)</f>
        <v>62500</v>
      </c>
      <c r="D166" s="19">
        <f>C166*(1+'VARIABLES DE ENTRADA'!$B$24)</f>
        <v>78125</v>
      </c>
      <c r="E166" s="19">
        <f>D166*(1+'VARIABLES DE ENTRADA'!$B$24)</f>
        <v>97656.25</v>
      </c>
    </row>
    <row r="167" spans="1:5" ht="12.75">
      <c r="A167" s="8" t="s">
        <v>45</v>
      </c>
      <c r="B167" s="19">
        <f>'VARIABLES DE ENTRADA'!$B$38/'VARIABLES DE ENTRADA'!$B$19</f>
        <v>15000</v>
      </c>
      <c r="C167" s="19">
        <f>'VARIABLES DE ENTRADA'!$B$38/'VARIABLES DE ENTRADA'!$B$19</f>
        <v>15000</v>
      </c>
      <c r="D167" s="19">
        <f>'VARIABLES DE ENTRADA'!$B$38/'VARIABLES DE ENTRADA'!$B$19</f>
        <v>15000</v>
      </c>
      <c r="E167" s="19">
        <f>'VARIABLES DE ENTRADA'!$B$38/'VARIABLES DE ENTRADA'!$B$19</f>
        <v>15000</v>
      </c>
    </row>
    <row r="168" spans="2:5" ht="13.5" thickBot="1">
      <c r="B168" s="20"/>
      <c r="C168" s="20"/>
      <c r="D168" s="20"/>
      <c r="E168" s="20"/>
    </row>
    <row r="169" spans="1:5" ht="13.5" thickBot="1">
      <c r="A169" s="21" t="s">
        <v>46</v>
      </c>
      <c r="B169" s="22">
        <f>B164-B165-B166-B167</f>
        <v>95000</v>
      </c>
      <c r="C169" s="23">
        <f>C164-C165-C166-C167</f>
        <v>138500</v>
      </c>
      <c r="D169" s="23">
        <f>D164-D165-D166-D167</f>
        <v>198475</v>
      </c>
      <c r="E169" s="24">
        <f>E164-E165-E166-E167</f>
        <v>281003.7500000001</v>
      </c>
    </row>
    <row r="170" spans="2:5" ht="12.75">
      <c r="B170" s="25"/>
      <c r="C170" s="25"/>
      <c r="D170" s="25"/>
      <c r="E170" s="25"/>
    </row>
    <row r="171" spans="1:5" ht="12.75">
      <c r="A171" s="8" t="s">
        <v>12</v>
      </c>
      <c r="B171" s="19">
        <f>B113</f>
        <v>30000</v>
      </c>
      <c r="C171" s="19">
        <f>(1+'VARIABLES DE ENTRADA'!$B$24)*'PPTO DE CAPITAL'!B171</f>
        <v>37500</v>
      </c>
      <c r="D171" s="19">
        <f>(1+'VARIABLES DE ENTRADA'!$B$24)*'PPTO DE CAPITAL'!C171</f>
        <v>46875</v>
      </c>
      <c r="E171" s="19">
        <f>(1+'VARIABLES DE ENTRADA'!$B$24)*'PPTO DE CAPITAL'!D171</f>
        <v>58593.75</v>
      </c>
    </row>
    <row r="172" spans="1:5" ht="12.75">
      <c r="A172" s="8" t="s">
        <v>47</v>
      </c>
      <c r="B172" s="19">
        <f>'VARIABLES DE ENTRADA'!$B$45/'VARIABLES DE ENTRADA'!$B$19</f>
        <v>1250</v>
      </c>
      <c r="C172" s="19">
        <f>'VARIABLES DE ENTRADA'!$B$45/'VARIABLES DE ENTRADA'!$B$19</f>
        <v>1250</v>
      </c>
      <c r="D172" s="19">
        <f>'VARIABLES DE ENTRADA'!$B$45/'VARIABLES DE ENTRADA'!$B$19</f>
        <v>1250</v>
      </c>
      <c r="E172" s="19">
        <f>'VARIABLES DE ENTRADA'!$B$45/'VARIABLES DE ENTRADA'!$B$19</f>
        <v>1250</v>
      </c>
    </row>
    <row r="173" spans="2:5" ht="13.5" thickBot="1">
      <c r="B173" s="20"/>
      <c r="C173" s="20"/>
      <c r="D173" s="20"/>
      <c r="E173" s="20"/>
    </row>
    <row r="174" spans="1:5" ht="13.5" thickBot="1">
      <c r="A174" s="26" t="s">
        <v>48</v>
      </c>
      <c r="B174" s="23">
        <f>B169-B171-B172</f>
        <v>63750</v>
      </c>
      <c r="C174" s="23">
        <f>C169-C171-C172</f>
        <v>99750</v>
      </c>
      <c r="D174" s="23">
        <f>D169-D171-D172</f>
        <v>150350</v>
      </c>
      <c r="E174" s="24">
        <f>E169-E171-E172</f>
        <v>221160.00000000012</v>
      </c>
    </row>
    <row r="175" spans="1:5" ht="12.75">
      <c r="A175" s="27"/>
      <c r="B175" s="25"/>
      <c r="C175" s="25"/>
      <c r="D175" s="25"/>
      <c r="E175" s="25"/>
    </row>
    <row r="176" spans="1:8" ht="12.75">
      <c r="A176" s="8" t="s">
        <v>49</v>
      </c>
      <c r="B176" s="20">
        <f>B40</f>
        <v>21000.000000000004</v>
      </c>
      <c r="C176" s="20">
        <f>C40</f>
        <v>21000.000000000004</v>
      </c>
      <c r="D176" s="20">
        <f>D40</f>
        <v>14000.000000000002</v>
      </c>
      <c r="E176" s="20">
        <f>E40</f>
        <v>7000.000000000001</v>
      </c>
      <c r="F176" s="20"/>
      <c r="G176" s="20"/>
      <c r="H176" s="20"/>
    </row>
    <row r="177" spans="2:8" ht="13.5" thickBot="1">
      <c r="B177" s="20"/>
      <c r="C177" s="20"/>
      <c r="D177" s="20"/>
      <c r="E177" s="20"/>
      <c r="F177" s="20"/>
      <c r="G177" s="20"/>
      <c r="H177" s="20"/>
    </row>
    <row r="178" spans="1:5" ht="13.5" thickBot="1">
      <c r="A178" s="51" t="s">
        <v>50</v>
      </c>
      <c r="B178" s="23">
        <f>B174-B176</f>
        <v>42750</v>
      </c>
      <c r="C178" s="23">
        <f>C174-C176</f>
        <v>78750</v>
      </c>
      <c r="D178" s="23">
        <f>D174-D176</f>
        <v>136350</v>
      </c>
      <c r="E178" s="24">
        <f>E174-E176</f>
        <v>214160.00000000012</v>
      </c>
    </row>
    <row r="179" spans="2:5" ht="12.75">
      <c r="B179" s="25"/>
      <c r="C179" s="25"/>
      <c r="D179" s="25"/>
      <c r="E179" s="25"/>
    </row>
    <row r="180" spans="1:5" ht="12.75">
      <c r="A180" s="8" t="s">
        <v>53</v>
      </c>
      <c r="B180" s="20">
        <f>B178*'VARIABLES DE ENTRADA'!$B$57</f>
        <v>12825</v>
      </c>
      <c r="C180" s="20">
        <f>C178*'VARIABLES DE ENTRADA'!$B$57</f>
        <v>23625</v>
      </c>
      <c r="D180" s="20">
        <f>D178*'VARIABLES DE ENTRADA'!$B$57</f>
        <v>40905</v>
      </c>
      <c r="E180" s="20">
        <f>E178*'VARIABLES DE ENTRADA'!$B$57</f>
        <v>64248.00000000003</v>
      </c>
    </row>
    <row r="181" ht="13.5" thickBot="1"/>
    <row r="182" spans="1:5" ht="13.5" thickBot="1">
      <c r="A182" s="21" t="s">
        <v>51</v>
      </c>
      <c r="B182" s="23">
        <f>B178-B180</f>
        <v>29925</v>
      </c>
      <c r="C182" s="23">
        <f>C178-C180</f>
        <v>55125</v>
      </c>
      <c r="D182" s="23">
        <f>D178-D180</f>
        <v>95445</v>
      </c>
      <c r="E182" s="24">
        <f>E178-E180</f>
        <v>149912.0000000001</v>
      </c>
    </row>
    <row r="183" spans="1:5" ht="12.75">
      <c r="A183" s="41"/>
      <c r="B183" s="42"/>
      <c r="C183" s="42"/>
      <c r="D183" s="42"/>
      <c r="E183" s="42"/>
    </row>
    <row r="184" spans="1:5" ht="12.75">
      <c r="A184" s="43" t="s">
        <v>102</v>
      </c>
      <c r="B184" s="19">
        <f>D18</f>
        <v>0</v>
      </c>
      <c r="C184" s="19">
        <f>D19</f>
        <v>25000</v>
      </c>
      <c r="D184" s="19">
        <f>D20</f>
        <v>25000</v>
      </c>
      <c r="E184" s="19">
        <f>D21</f>
        <v>25000</v>
      </c>
    </row>
    <row r="185" spans="1:5" ht="12.75">
      <c r="A185" s="43" t="s">
        <v>101</v>
      </c>
      <c r="B185" s="19">
        <f>B167</f>
        <v>15000</v>
      </c>
      <c r="C185" s="19">
        <f>C167</f>
        <v>15000</v>
      </c>
      <c r="D185" s="19">
        <f>D167</f>
        <v>15000</v>
      </c>
      <c r="E185" s="19">
        <f>E167</f>
        <v>15000</v>
      </c>
    </row>
    <row r="186" spans="1:5" ht="12.75">
      <c r="A186" s="43" t="s">
        <v>103</v>
      </c>
      <c r="B186" s="19">
        <f aca="true" t="shared" si="0" ref="B186:E187">B123</f>
        <v>1250</v>
      </c>
      <c r="C186" s="19">
        <f t="shared" si="0"/>
        <v>1250</v>
      </c>
      <c r="D186" s="19">
        <f t="shared" si="0"/>
        <v>1250</v>
      </c>
      <c r="E186" s="19">
        <f t="shared" si="0"/>
        <v>1250</v>
      </c>
    </row>
    <row r="187" spans="1:5" ht="12.75">
      <c r="A187" s="43" t="s">
        <v>104</v>
      </c>
      <c r="B187" s="19">
        <f t="shared" si="0"/>
        <v>-45395.83333333334</v>
      </c>
      <c r="C187" s="19">
        <f t="shared" si="0"/>
        <v>-27794.791666666657</v>
      </c>
      <c r="D187" s="19">
        <f t="shared" si="0"/>
        <v>-37327.65625</v>
      </c>
      <c r="E187" s="19">
        <f t="shared" si="0"/>
        <v>-21262.5</v>
      </c>
    </row>
    <row r="188" spans="1:5" ht="12.75">
      <c r="A188" s="43" t="s">
        <v>105</v>
      </c>
      <c r="E188" s="19">
        <f>E125</f>
        <v>173905.78125</v>
      </c>
    </row>
    <row r="189" ht="13.5" thickBot="1"/>
    <row r="190" spans="1:5" ht="13.5" thickBot="1">
      <c r="A190" s="21" t="s">
        <v>106</v>
      </c>
      <c r="B190" s="23">
        <f>B182-B184+B185+B186+B187+B188</f>
        <v>779.166666666657</v>
      </c>
      <c r="C190" s="23">
        <f>C182-C184+C185+C186+C187+C188</f>
        <v>18580.208333333343</v>
      </c>
      <c r="D190" s="23">
        <f>D182-D184+D185+D186+D187+D188</f>
        <v>49367.34375</v>
      </c>
      <c r="E190" s="24">
        <f>E182-E184+E185+E186+E187+E188</f>
        <v>293805.2812500001</v>
      </c>
    </row>
    <row r="193" ht="12.75">
      <c r="A193" s="7" t="s">
        <v>108</v>
      </c>
    </row>
    <row r="194" ht="13.5" thickBot="1"/>
    <row r="195" spans="2:6" ht="13.5" thickBot="1">
      <c r="B195" s="9" t="s">
        <v>82</v>
      </c>
      <c r="C195" s="9" t="s">
        <v>38</v>
      </c>
      <c r="D195" s="9" t="s">
        <v>39</v>
      </c>
      <c r="E195" s="52" t="s">
        <v>40</v>
      </c>
      <c r="F195" s="9" t="s">
        <v>41</v>
      </c>
    </row>
    <row r="196" spans="2:6" ht="12.75">
      <c r="B196" s="10"/>
      <c r="C196" s="10"/>
      <c r="D196" s="10"/>
      <c r="E196" s="41"/>
      <c r="F196" s="10"/>
    </row>
    <row r="197" spans="2:6" ht="13.5" thickBot="1">
      <c r="B197" s="53">
        <f>-B75</f>
        <v>-48125</v>
      </c>
      <c r="C197" s="54">
        <v>779.166666666657</v>
      </c>
      <c r="D197" s="55">
        <v>18580.208333333343</v>
      </c>
      <c r="E197" s="56">
        <v>49367.34375</v>
      </c>
      <c r="F197" s="54">
        <v>293805.2812500001</v>
      </c>
    </row>
    <row r="199" ht="12.75">
      <c r="A199" s="7" t="s">
        <v>94</v>
      </c>
    </row>
    <row r="200" ht="12.75">
      <c r="A200" s="7"/>
    </row>
    <row r="201" ht="12.75">
      <c r="A201" s="7"/>
    </row>
    <row r="212" spans="2:3" ht="12.75">
      <c r="B212" s="8" t="s">
        <v>95</v>
      </c>
      <c r="C212" s="46">
        <f>IRR(B197:F197)</f>
        <v>0.7388019875426424</v>
      </c>
    </row>
    <row r="213" spans="2:3" ht="12.75">
      <c r="B213" s="8" t="s">
        <v>109</v>
      </c>
      <c r="C213" s="47">
        <f>NPV('VARIABLES DE ENTRADA'!B56,C197:F197)+B197</f>
        <v>43907.03924607055</v>
      </c>
    </row>
    <row r="215" ht="12.75">
      <c r="A215" s="7" t="s">
        <v>97</v>
      </c>
    </row>
    <row r="216" ht="13.5" thickBot="1"/>
    <row r="217" spans="2:4" ht="12.75">
      <c r="B217" s="48" t="s">
        <v>95</v>
      </c>
      <c r="D217" s="48" t="s">
        <v>111</v>
      </c>
    </row>
    <row r="218" spans="1:4" ht="13.5" thickBot="1">
      <c r="A218" s="8" t="s">
        <v>99</v>
      </c>
      <c r="B218" s="49">
        <f>C212</f>
        <v>0.7388019875426424</v>
      </c>
      <c r="C218" s="50" t="s">
        <v>98</v>
      </c>
      <c r="D218" s="49">
        <f>'VARIABLES DE ENTRADA'!B56</f>
        <v>0.45</v>
      </c>
    </row>
    <row r="221" ht="12.75">
      <c r="A221" s="7" t="s">
        <v>110</v>
      </c>
    </row>
    <row r="223" spans="1:6" ht="12.75">
      <c r="A223" s="41" t="s">
        <v>118</v>
      </c>
      <c r="B223" s="57">
        <v>0</v>
      </c>
      <c r="C223" s="57">
        <v>1</v>
      </c>
      <c r="D223" s="57">
        <v>2</v>
      </c>
      <c r="E223" s="57">
        <v>3</v>
      </c>
      <c r="F223" s="57">
        <v>4</v>
      </c>
    </row>
    <row r="225" spans="1:6" ht="12.75">
      <c r="A225" s="8" t="s">
        <v>112</v>
      </c>
      <c r="C225" s="19">
        <f>B106-D226</f>
        <v>366666.6666666667</v>
      </c>
      <c r="D225" s="19">
        <f>C106-E226</f>
        <v>495000</v>
      </c>
      <c r="E225" s="19">
        <f>D106-F226</f>
        <v>668250</v>
      </c>
      <c r="F225" s="19">
        <f>E106-G226</f>
        <v>902137.5000000001</v>
      </c>
    </row>
    <row r="226" spans="1:7" ht="12.75">
      <c r="A226" s="8" t="s">
        <v>113</v>
      </c>
      <c r="D226" s="19">
        <f>C85</f>
        <v>33333.333333333336</v>
      </c>
      <c r="E226" s="19">
        <f>D85</f>
        <v>45000</v>
      </c>
      <c r="F226" s="19">
        <f>E85</f>
        <v>60750</v>
      </c>
      <c r="G226" s="19">
        <f>F85</f>
        <v>82012.50000000001</v>
      </c>
    </row>
    <row r="227" spans="1:2" ht="12.75">
      <c r="A227" s="8" t="s">
        <v>114</v>
      </c>
      <c r="B227" s="19">
        <f>B75</f>
        <v>48125</v>
      </c>
    </row>
    <row r="228" spans="1:2" ht="12.75">
      <c r="A228" s="8" t="s">
        <v>115</v>
      </c>
      <c r="B228" s="19">
        <f>B74</f>
        <v>75000</v>
      </c>
    </row>
    <row r="229" ht="13.5" thickBot="1"/>
    <row r="230" spans="1:6" ht="13.5" thickBot="1">
      <c r="A230" s="40" t="s">
        <v>116</v>
      </c>
      <c r="B230" s="58">
        <f>B225+B226+B227+B228+B229</f>
        <v>123125</v>
      </c>
      <c r="C230" s="58">
        <f>C225+C226+C227+C228+C229</f>
        <v>366666.6666666667</v>
      </c>
      <c r="D230" s="58">
        <f>D225+D226+D227+D228+D229</f>
        <v>528333.3333333334</v>
      </c>
      <c r="E230" s="58">
        <f>E225+E226+E227+E228+E229</f>
        <v>713250</v>
      </c>
      <c r="F230" s="59">
        <f>F225+F226+F227+F228+F229</f>
        <v>962887.5000000001</v>
      </c>
    </row>
    <row r="232" ht="12.75">
      <c r="A232" s="8" t="s">
        <v>117</v>
      </c>
    </row>
    <row r="234" spans="1:7" ht="12.75">
      <c r="A234" s="8" t="s">
        <v>119</v>
      </c>
      <c r="B234" s="19">
        <f>B86</f>
        <v>38125</v>
      </c>
      <c r="C234" s="19">
        <f>C86-B86</f>
        <v>12062.5</v>
      </c>
      <c r="D234" s="19">
        <f>D86-C86</f>
        <v>16128.125</v>
      </c>
      <c r="E234" s="19">
        <f>E86-D86</f>
        <v>21577.65625</v>
      </c>
      <c r="F234" s="19">
        <f>F86-E86</f>
        <v>0</v>
      </c>
      <c r="G234" s="19"/>
    </row>
    <row r="235" spans="1:2" ht="12.75">
      <c r="A235" s="8" t="s">
        <v>120</v>
      </c>
      <c r="B235" s="19">
        <f>C55</f>
        <v>76000</v>
      </c>
    </row>
    <row r="236" spans="1:2" ht="12.75">
      <c r="A236" s="8" t="s">
        <v>121</v>
      </c>
      <c r="B236" s="19">
        <f>C65</f>
        <v>5000</v>
      </c>
    </row>
    <row r="237" spans="1:6" ht="12.75">
      <c r="A237" s="8" t="s">
        <v>43</v>
      </c>
      <c r="C237" s="19">
        <f>C95</f>
        <v>240000</v>
      </c>
      <c r="D237" s="19">
        <f aca="true" t="shared" si="1" ref="D237:F238">D95</f>
        <v>324000</v>
      </c>
      <c r="E237" s="19">
        <f t="shared" si="1"/>
        <v>437400</v>
      </c>
      <c r="F237" s="19">
        <f t="shared" si="1"/>
        <v>590490</v>
      </c>
    </row>
    <row r="238" spans="1:6" ht="12.75">
      <c r="A238" s="8" t="s">
        <v>44</v>
      </c>
      <c r="C238" s="19">
        <f>C96</f>
        <v>50000</v>
      </c>
      <c r="D238" s="19">
        <f t="shared" si="1"/>
        <v>62500</v>
      </c>
      <c r="E238" s="19">
        <f t="shared" si="1"/>
        <v>78125</v>
      </c>
      <c r="F238" s="19">
        <f t="shared" si="1"/>
        <v>97656.25</v>
      </c>
    </row>
    <row r="239" spans="1:6" ht="12.75">
      <c r="A239" s="8" t="s">
        <v>122</v>
      </c>
      <c r="C239" s="19">
        <f>B113</f>
        <v>30000</v>
      </c>
      <c r="D239" s="19">
        <f>C113</f>
        <v>37500</v>
      </c>
      <c r="E239" s="19">
        <f>D113</f>
        <v>46875</v>
      </c>
      <c r="F239" s="19">
        <f>E113</f>
        <v>58593.75</v>
      </c>
    </row>
    <row r="240" spans="1:6" ht="12.75">
      <c r="A240" s="8" t="s">
        <v>123</v>
      </c>
      <c r="C240" s="19">
        <f>B176</f>
        <v>21000.000000000004</v>
      </c>
      <c r="D240" s="19">
        <f>C176</f>
        <v>21000.000000000004</v>
      </c>
      <c r="E240" s="19">
        <f>D176</f>
        <v>14000.000000000002</v>
      </c>
      <c r="F240" s="19">
        <f>E176</f>
        <v>7000.000000000001</v>
      </c>
    </row>
    <row r="241" spans="1:6" ht="12.75">
      <c r="A241" s="8" t="s">
        <v>124</v>
      </c>
      <c r="C241" s="19"/>
      <c r="D241" s="19">
        <f>C184</f>
        <v>25000</v>
      </c>
      <c r="E241" s="19">
        <f>D184</f>
        <v>25000</v>
      </c>
      <c r="F241" s="19">
        <f>E184</f>
        <v>25000</v>
      </c>
    </row>
    <row r="242" spans="1:6" ht="12.75">
      <c r="A242" s="8" t="s">
        <v>125</v>
      </c>
      <c r="D242" s="19">
        <f>B180</f>
        <v>12825</v>
      </c>
      <c r="E242" s="19">
        <f>C180</f>
        <v>23625</v>
      </c>
      <c r="F242" s="19">
        <f>D180</f>
        <v>40905</v>
      </c>
    </row>
    <row r="243" ht="13.5" thickBot="1"/>
    <row r="244" spans="1:6" ht="13.5" thickBot="1">
      <c r="A244" s="21" t="s">
        <v>126</v>
      </c>
      <c r="B244" s="60">
        <f>SUM(B234:B243)</f>
        <v>119125</v>
      </c>
      <c r="C244" s="61">
        <f>SUM(C234:C243)</f>
        <v>353062.5</v>
      </c>
      <c r="D244" s="61">
        <f>SUM(D234:D243)</f>
        <v>498953.125</v>
      </c>
      <c r="E244" s="61">
        <f>SUM(E234:E243)</f>
        <v>646602.65625</v>
      </c>
      <c r="F244" s="62">
        <f>SUM(F234:F243)</f>
        <v>819645</v>
      </c>
    </row>
    <row r="245" ht="13.5" thickBot="1"/>
    <row r="246" spans="1:6" ht="13.5" thickBot="1">
      <c r="A246" s="21" t="s">
        <v>127</v>
      </c>
      <c r="B246" s="61">
        <f>B230-B244</f>
        <v>4000</v>
      </c>
      <c r="C246" s="61">
        <f>C230-C244</f>
        <v>13604.166666666686</v>
      </c>
      <c r="D246" s="61">
        <f>D230-D244</f>
        <v>29380.208333333372</v>
      </c>
      <c r="E246" s="61">
        <f>E230-E244</f>
        <v>66647.34375</v>
      </c>
      <c r="F246" s="62">
        <f>F230-F244</f>
        <v>143242.50000000012</v>
      </c>
    </row>
    <row r="248" spans="1:6" ht="12.75">
      <c r="A248" s="8" t="s">
        <v>128</v>
      </c>
      <c r="C248" s="19">
        <f>B250</f>
        <v>4000</v>
      </c>
      <c r="D248" s="19">
        <f>C250</f>
        <v>17604.166666666686</v>
      </c>
      <c r="E248" s="19">
        <f>D250</f>
        <v>46984.37500000006</v>
      </c>
      <c r="F248" s="19">
        <f>E250</f>
        <v>113631.71875000006</v>
      </c>
    </row>
    <row r="249" ht="13.5" thickBot="1"/>
    <row r="250" spans="1:6" ht="13.5" thickBot="1">
      <c r="A250" s="21" t="s">
        <v>129</v>
      </c>
      <c r="B250" s="61">
        <f>B246+B248</f>
        <v>4000</v>
      </c>
      <c r="C250" s="61">
        <f>C246+C248</f>
        <v>17604.166666666686</v>
      </c>
      <c r="D250" s="61">
        <f>D246+D248</f>
        <v>46984.37500000006</v>
      </c>
      <c r="E250" s="61">
        <f>E246+E248</f>
        <v>113631.71875000006</v>
      </c>
      <c r="F250" s="62">
        <f>F246+F248</f>
        <v>256874.21875000017</v>
      </c>
    </row>
    <row r="253" ht="12.75">
      <c r="A253" s="8" t="s">
        <v>130</v>
      </c>
    </row>
    <row r="256" spans="1:6" ht="12.75">
      <c r="A256" s="8" t="s">
        <v>131</v>
      </c>
      <c r="B256" s="63" t="s">
        <v>82</v>
      </c>
      <c r="C256" s="63" t="s">
        <v>38</v>
      </c>
      <c r="D256" s="63" t="s">
        <v>39</v>
      </c>
      <c r="E256" s="63" t="s">
        <v>40</v>
      </c>
      <c r="F256" s="63" t="s">
        <v>41</v>
      </c>
    </row>
    <row r="258" spans="1:6" ht="12.75">
      <c r="A258" s="8" t="s">
        <v>17</v>
      </c>
      <c r="B258" s="19">
        <f>B250</f>
        <v>4000</v>
      </c>
      <c r="C258" s="19">
        <f>C250</f>
        <v>17604.166666666686</v>
      </c>
      <c r="D258" s="19">
        <f>D250</f>
        <v>46984.37500000006</v>
      </c>
      <c r="E258" s="19">
        <f>E250</f>
        <v>113631.71875000006</v>
      </c>
      <c r="F258" s="19">
        <f>F250</f>
        <v>256874.21875000017</v>
      </c>
    </row>
    <row r="259" spans="1:6" ht="12.75">
      <c r="A259" s="8" t="s">
        <v>132</v>
      </c>
      <c r="C259" s="19">
        <f>D226</f>
        <v>33333.333333333336</v>
      </c>
      <c r="D259" s="19">
        <f>E226</f>
        <v>45000</v>
      </c>
      <c r="E259" s="19">
        <f>F226</f>
        <v>60750</v>
      </c>
      <c r="F259" s="19">
        <f>G226</f>
        <v>82012.50000000001</v>
      </c>
    </row>
    <row r="260" spans="1:6" ht="12.75">
      <c r="A260" s="8" t="s">
        <v>133</v>
      </c>
      <c r="B260" s="19">
        <f>B86</f>
        <v>38125</v>
      </c>
      <c r="C260" s="19">
        <f>C86</f>
        <v>50187.5</v>
      </c>
      <c r="D260" s="19">
        <f>D86</f>
        <v>66315.625</v>
      </c>
      <c r="E260" s="19">
        <f>E86</f>
        <v>87893.28125</v>
      </c>
      <c r="F260" s="19">
        <f>F86</f>
        <v>87893.28125</v>
      </c>
    </row>
    <row r="261" ht="13.5" thickBot="1"/>
    <row r="262" spans="1:6" ht="13.5" thickBot="1">
      <c r="A262" s="21" t="s">
        <v>134</v>
      </c>
      <c r="B262" s="60">
        <f>B258+B259+B260</f>
        <v>42125</v>
      </c>
      <c r="C262" s="61">
        <f>C258+C259+C260</f>
        <v>101125.00000000003</v>
      </c>
      <c r="D262" s="61">
        <f>D258+D259+D260</f>
        <v>158300.00000000006</v>
      </c>
      <c r="E262" s="61">
        <f>E258+E259+E260</f>
        <v>262275.00000000006</v>
      </c>
      <c r="F262" s="62">
        <f>F258+F259+F260</f>
        <v>426780.0000000002</v>
      </c>
    </row>
    <row r="264" spans="1:6" ht="12.75">
      <c r="A264" s="8" t="s">
        <v>55</v>
      </c>
      <c r="B264" s="19">
        <f>'VARIABLES DE ENTRADA'!B37</f>
        <v>16000</v>
      </c>
      <c r="C264" s="19">
        <f aca="true" t="shared" si="2" ref="C264:F265">B264</f>
        <v>16000</v>
      </c>
      <c r="D264" s="19">
        <f t="shared" si="2"/>
        <v>16000</v>
      </c>
      <c r="E264" s="19">
        <f t="shared" si="2"/>
        <v>16000</v>
      </c>
      <c r="F264" s="19">
        <f t="shared" si="2"/>
        <v>16000</v>
      </c>
    </row>
    <row r="265" spans="1:6" ht="12.75">
      <c r="A265" s="8" t="s">
        <v>135</v>
      </c>
      <c r="B265" s="19">
        <f>'VARIABLES DE ENTRADA'!B38</f>
        <v>60000</v>
      </c>
      <c r="C265" s="19">
        <f t="shared" si="2"/>
        <v>60000</v>
      </c>
      <c r="D265" s="19">
        <f t="shared" si="2"/>
        <v>60000</v>
      </c>
      <c r="E265" s="19">
        <f t="shared" si="2"/>
        <v>60000</v>
      </c>
      <c r="F265" s="19">
        <f t="shared" si="2"/>
        <v>60000</v>
      </c>
    </row>
    <row r="266" spans="1:6" ht="12.75">
      <c r="A266" s="8" t="s">
        <v>136</v>
      </c>
      <c r="C266" s="19">
        <f>-B109</f>
        <v>-15000</v>
      </c>
      <c r="D266" s="19">
        <f>C266-C167</f>
        <v>-30000</v>
      </c>
      <c r="E266" s="19">
        <f>D266-D167</f>
        <v>-45000</v>
      </c>
      <c r="F266" s="19">
        <f>E266-E167</f>
        <v>-60000</v>
      </c>
    </row>
    <row r="267" ht="13.5" thickBot="1"/>
    <row r="268" spans="1:6" ht="13.5" thickBot="1">
      <c r="A268" s="64" t="s">
        <v>137</v>
      </c>
      <c r="B268" s="61">
        <f>SUM(B264:B267)</f>
        <v>76000</v>
      </c>
      <c r="C268" s="61">
        <f>SUM(C264:C267)</f>
        <v>61000</v>
      </c>
      <c r="D268" s="61">
        <f>SUM(D264:D267)</f>
        <v>46000</v>
      </c>
      <c r="E268" s="61">
        <f>SUM(E264:E267)</f>
        <v>31000</v>
      </c>
      <c r="F268" s="62">
        <f>SUM(F264:F267)</f>
        <v>16000</v>
      </c>
    </row>
    <row r="270" spans="1:6" ht="12.75">
      <c r="A270" s="8" t="s">
        <v>138</v>
      </c>
      <c r="B270" s="19">
        <f>C65</f>
        <v>5000</v>
      </c>
      <c r="C270" s="19">
        <f>B270</f>
        <v>5000</v>
      </c>
      <c r="D270" s="19">
        <f>C270</f>
        <v>5000</v>
      </c>
      <c r="E270" s="19">
        <f>D270</f>
        <v>5000</v>
      </c>
      <c r="F270" s="19">
        <f>E270</f>
        <v>5000</v>
      </c>
    </row>
    <row r="271" spans="1:6" ht="12.75">
      <c r="A271" s="8" t="s">
        <v>47</v>
      </c>
      <c r="C271" s="19">
        <f>B186</f>
        <v>1250</v>
      </c>
      <c r="D271" s="19">
        <f>C271+C186</f>
        <v>2500</v>
      </c>
      <c r="E271" s="19">
        <f>D271+D186</f>
        <v>3750</v>
      </c>
      <c r="F271" s="19">
        <f>E271+E186</f>
        <v>5000</v>
      </c>
    </row>
    <row r="272" ht="13.5" thickBot="1"/>
    <row r="273" spans="1:6" ht="13.5" thickBot="1">
      <c r="A273" s="21" t="s">
        <v>139</v>
      </c>
      <c r="B273" s="61">
        <f>B270-B271</f>
        <v>5000</v>
      </c>
      <c r="C273" s="61">
        <f>C270-C271</f>
        <v>3750</v>
      </c>
      <c r="D273" s="61">
        <f>D270-D271</f>
        <v>2500</v>
      </c>
      <c r="E273" s="61">
        <f>E270-E271</f>
        <v>1250</v>
      </c>
      <c r="F273" s="62">
        <f>F270-F271</f>
        <v>0</v>
      </c>
    </row>
    <row r="274" ht="13.5" thickBot="1"/>
    <row r="275" spans="1:6" ht="13.5" thickBot="1">
      <c r="A275" s="32" t="s">
        <v>140</v>
      </c>
      <c r="B275" s="23">
        <f>B262+B268+B273</f>
        <v>123125</v>
      </c>
      <c r="C275" s="23">
        <f>C262+C268+C273</f>
        <v>165875.00000000003</v>
      </c>
      <c r="D275" s="23">
        <f>D262+D268+D273</f>
        <v>206800.00000000006</v>
      </c>
      <c r="E275" s="23">
        <f>E262+E268+E273</f>
        <v>294525.00000000006</v>
      </c>
      <c r="F275" s="24">
        <f>F262+F268+F273</f>
        <v>442780.0000000002</v>
      </c>
    </row>
    <row r="277" ht="12.75">
      <c r="A277" s="8" t="s">
        <v>141</v>
      </c>
    </row>
    <row r="279" spans="1:6" ht="12.75">
      <c r="A279" s="8" t="s">
        <v>142</v>
      </c>
      <c r="C279" s="19">
        <f>B44</f>
        <v>12825</v>
      </c>
      <c r="D279" s="19">
        <f>C44</f>
        <v>23625</v>
      </c>
      <c r="E279" s="19">
        <f>D44</f>
        <v>40905</v>
      </c>
      <c r="F279" s="19">
        <f>E44</f>
        <v>64248.00000000003</v>
      </c>
    </row>
    <row r="280" spans="1:6" ht="12.75">
      <c r="A280" s="8" t="s">
        <v>143</v>
      </c>
      <c r="B280" s="19">
        <f>B17</f>
        <v>75000</v>
      </c>
      <c r="C280" s="19">
        <f>B280-D18</f>
        <v>75000</v>
      </c>
      <c r="D280" s="19">
        <f>C280-D19</f>
        <v>50000</v>
      </c>
      <c r="E280" s="19">
        <f>D280-D20</f>
        <v>25000</v>
      </c>
      <c r="F280" s="19">
        <f>E280-D21</f>
        <v>0</v>
      </c>
    </row>
    <row r="281" ht="13.5" thickBot="1"/>
    <row r="282" spans="1:6" ht="13.5" thickBot="1">
      <c r="A282" s="51" t="s">
        <v>144</v>
      </c>
      <c r="B282" s="61">
        <f>B279+B280</f>
        <v>75000</v>
      </c>
      <c r="C282" s="61">
        <f>C279+C280</f>
        <v>87825</v>
      </c>
      <c r="D282" s="61">
        <f>D279+D280</f>
        <v>73625</v>
      </c>
      <c r="E282" s="61">
        <f>E279+E280</f>
        <v>65905</v>
      </c>
      <c r="F282" s="62">
        <f>F279+F280</f>
        <v>64248.00000000003</v>
      </c>
    </row>
    <row r="284" spans="1:6" ht="12.75">
      <c r="A284" s="8" t="s">
        <v>145</v>
      </c>
      <c r="B284" s="19">
        <f>B75</f>
        <v>48125</v>
      </c>
      <c r="C284" s="19">
        <f>B284</f>
        <v>48125</v>
      </c>
      <c r="D284" s="19">
        <f>C284</f>
        <v>48125</v>
      </c>
      <c r="E284" s="19">
        <f>D284</f>
        <v>48125</v>
      </c>
      <c r="F284" s="19">
        <f>E284</f>
        <v>48125</v>
      </c>
    </row>
    <row r="285" spans="1:6" ht="12.75">
      <c r="A285" s="8" t="s">
        <v>146</v>
      </c>
      <c r="C285" s="19">
        <f>B182</f>
        <v>29925</v>
      </c>
      <c r="D285" s="19">
        <f>C285+C182</f>
        <v>85050</v>
      </c>
      <c r="E285" s="19">
        <f>D285+D182</f>
        <v>180495</v>
      </c>
      <c r="F285" s="19">
        <f>E285+E182</f>
        <v>330407.0000000001</v>
      </c>
    </row>
    <row r="286" ht="13.5" thickBot="1"/>
    <row r="287" spans="1:6" ht="13.5" thickBot="1">
      <c r="A287" s="51" t="s">
        <v>147</v>
      </c>
      <c r="B287" s="61">
        <f>B284+B285</f>
        <v>48125</v>
      </c>
      <c r="C287" s="61">
        <f>C284+C285</f>
        <v>78050</v>
      </c>
      <c r="D287" s="61">
        <f>D284+D285</f>
        <v>133175</v>
      </c>
      <c r="E287" s="61">
        <f>E284+E285</f>
        <v>228620</v>
      </c>
      <c r="F287" s="62">
        <f>F284+F285</f>
        <v>378532.0000000001</v>
      </c>
    </row>
    <row r="288" ht="13.5" thickBot="1"/>
    <row r="289" spans="1:6" ht="13.5" thickBot="1">
      <c r="A289" s="32" t="s">
        <v>148</v>
      </c>
      <c r="B289" s="22">
        <f>B282+B287</f>
        <v>123125</v>
      </c>
      <c r="C289" s="23">
        <f>C282+C287</f>
        <v>165875</v>
      </c>
      <c r="D289" s="23">
        <f>D282+D287</f>
        <v>206800</v>
      </c>
      <c r="E289" s="23">
        <f>E282+E287</f>
        <v>294525</v>
      </c>
      <c r="F289" s="24">
        <f>F282+F287</f>
        <v>442780.0000000001</v>
      </c>
    </row>
  </sheetData>
  <mergeCells count="1">
    <mergeCell ref="B4:F4"/>
  </mergeCells>
  <printOptions horizontalCentered="1"/>
  <pageMargins left="0.56" right="0.75" top="0.93" bottom="1.25" header="0.5905511811023623" footer="0.5905511811023623"/>
  <pageSetup horizontalDpi="300" verticalDpi="300" orientation="landscape" r:id="rId2"/>
  <headerFooter alignWithMargins="0">
    <oddHeader>&amp;C&amp;"Tahoma,Regular"FERNANDO FRANCO CUARTAS</oddHeader>
    <oddFooter>&amp;C&amp;"Tahoma,Regular"EVALUACION DE PROYECTOS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Fernando Franco</cp:lastModifiedBy>
  <cp:lastPrinted>1999-11-17T20:36:14Z</cp:lastPrinted>
  <dcterms:created xsi:type="dcterms:W3CDTF">1999-10-25T01:21:39Z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